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yama\Downloads\"/>
    </mc:Choice>
  </mc:AlternateContent>
  <xr:revisionPtr revIDLastSave="0" documentId="8_{8527AD75-6E3D-481D-A71A-CC586B40388B}" xr6:coauthVersionLast="47" xr6:coauthVersionMax="47" xr10:uidLastSave="{00000000-0000-0000-0000-000000000000}"/>
  <bookViews>
    <workbookView xWindow="-108" yWindow="-108" windowWidth="23256" windowHeight="13896" tabRatio="798" activeTab="3" xr2:uid="{6D05E57B-1F44-49AB-B46E-2F53685085B3}"/>
  </bookViews>
  <sheets>
    <sheet name="Slide 6" sheetId="6" r:id="rId1"/>
    <sheet name="Slide 7" sheetId="7" r:id="rId2"/>
    <sheet name="Slide 8" sheetId="10" r:id="rId3"/>
    <sheet name="Time Equation Cost Calculator" sheetId="14" r:id="rId4"/>
    <sheet name="Theoretical capacity" sheetId="12" r:id="rId5"/>
    <sheet name="Case extracts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2" i="7" l="1"/>
  <c r="S31" i="7"/>
  <c r="S28" i="7"/>
  <c r="S26" i="7"/>
  <c r="L63" i="14"/>
  <c r="N20" i="14"/>
  <c r="M20" i="14"/>
  <c r="L20" i="14"/>
  <c r="E21" i="14"/>
  <c r="N12" i="14"/>
  <c r="M12" i="14"/>
  <c r="L12" i="14"/>
  <c r="N11" i="14"/>
  <c r="M11" i="14"/>
  <c r="L11" i="14"/>
  <c r="N10" i="14"/>
  <c r="M10" i="14"/>
  <c r="L10" i="14"/>
  <c r="L21" i="14" s="1"/>
  <c r="L62" i="14" s="1"/>
  <c r="N19" i="14"/>
  <c r="M19" i="14"/>
  <c r="L19" i="14"/>
  <c r="N17" i="14"/>
  <c r="M17" i="14"/>
  <c r="L17" i="14"/>
  <c r="N16" i="14"/>
  <c r="M16" i="14"/>
  <c r="L16" i="14"/>
  <c r="N15" i="14"/>
  <c r="M15" i="14"/>
  <c r="L15" i="14"/>
  <c r="H59" i="14"/>
  <c r="N58" i="14"/>
  <c r="M58" i="14"/>
  <c r="L58" i="14"/>
  <c r="N57" i="14"/>
  <c r="M57" i="14"/>
  <c r="L57" i="14"/>
  <c r="N56" i="14"/>
  <c r="M56" i="14"/>
  <c r="L56" i="14"/>
  <c r="N55" i="14"/>
  <c r="M55" i="14"/>
  <c r="L55" i="14"/>
  <c r="N53" i="14"/>
  <c r="M53" i="14"/>
  <c r="L53" i="14"/>
  <c r="N52" i="14"/>
  <c r="M52" i="14"/>
  <c r="L52" i="14"/>
  <c r="N51" i="14"/>
  <c r="M51" i="14"/>
  <c r="L51" i="14"/>
  <c r="N50" i="14"/>
  <c r="M50" i="14"/>
  <c r="L50" i="14"/>
  <c r="N49" i="14"/>
  <c r="M49" i="14"/>
  <c r="L49" i="14"/>
  <c r="N47" i="14"/>
  <c r="M47" i="14"/>
  <c r="L47" i="14"/>
  <c r="N46" i="14"/>
  <c r="M46" i="14"/>
  <c r="L46" i="14"/>
  <c r="L44" i="14"/>
  <c r="N43" i="14"/>
  <c r="M43" i="14"/>
  <c r="L43" i="14"/>
  <c r="N42" i="14"/>
  <c r="M42" i="14"/>
  <c r="L42" i="14"/>
  <c r="N41" i="14"/>
  <c r="M41" i="14"/>
  <c r="L41" i="14"/>
  <c r="N40" i="14"/>
  <c r="M40" i="14"/>
  <c r="L40" i="14"/>
  <c r="N39" i="14"/>
  <c r="M39" i="14"/>
  <c r="L39" i="14"/>
  <c r="N38" i="14"/>
  <c r="M38" i="14"/>
  <c r="L38" i="14"/>
  <c r="N37" i="14"/>
  <c r="M37" i="14"/>
  <c r="L37" i="14"/>
  <c r="N36" i="14"/>
  <c r="M36" i="14"/>
  <c r="L36" i="14"/>
  <c r="N35" i="14"/>
  <c r="M35" i="14"/>
  <c r="L35" i="14"/>
  <c r="N33" i="14"/>
  <c r="M33" i="14"/>
  <c r="L33" i="14"/>
  <c r="N32" i="14"/>
  <c r="M32" i="14"/>
  <c r="L32" i="14"/>
  <c r="N31" i="14"/>
  <c r="M31" i="14"/>
  <c r="L31" i="14"/>
  <c r="N30" i="14"/>
  <c r="M30" i="14"/>
  <c r="L30" i="14"/>
  <c r="E28" i="14"/>
  <c r="N28" i="14" s="1"/>
  <c r="N27" i="14"/>
  <c r="M27" i="14"/>
  <c r="L27" i="14"/>
  <c r="N26" i="14"/>
  <c r="M26" i="14"/>
  <c r="L26" i="14"/>
  <c r="N25" i="14"/>
  <c r="M25" i="14"/>
  <c r="L25" i="14"/>
  <c r="N24" i="14"/>
  <c r="M24" i="14"/>
  <c r="L24" i="14"/>
  <c r="N23" i="14"/>
  <c r="M23" i="14"/>
  <c r="L23" i="14"/>
  <c r="M21" i="14" l="1"/>
  <c r="M62" i="14" s="1"/>
  <c r="M63" i="14" s="1"/>
  <c r="N21" i="14"/>
  <c r="N62" i="14" s="1"/>
  <c r="N63" i="14" s="1"/>
  <c r="N59" i="14"/>
  <c r="L28" i="14"/>
  <c r="L59" i="14" s="1"/>
  <c r="M28" i="14"/>
  <c r="M59" i="14" s="1"/>
  <c r="B41" i="12" l="1"/>
  <c r="B40" i="12"/>
  <c r="B39" i="12"/>
  <c r="E35" i="12"/>
  <c r="D35" i="12"/>
  <c r="C35" i="12"/>
  <c r="F34" i="12"/>
  <c r="F33" i="12"/>
  <c r="F32" i="12"/>
  <c r="F31" i="12"/>
  <c r="F35" i="12" s="1"/>
  <c r="F30" i="12"/>
  <c r="E27" i="12"/>
  <c r="D27" i="12"/>
  <c r="C27" i="12"/>
  <c r="F26" i="12"/>
  <c r="F25" i="12"/>
  <c r="F27" i="12" s="1"/>
  <c r="F23" i="12"/>
  <c r="E16" i="12"/>
  <c r="D16" i="12"/>
  <c r="E14" i="12"/>
  <c r="D14" i="12"/>
  <c r="F14" i="12" s="1"/>
  <c r="E12" i="12"/>
  <c r="D12" i="12"/>
  <c r="E10" i="12"/>
  <c r="D10" i="12"/>
  <c r="E8" i="12"/>
  <c r="D8" i="12"/>
  <c r="D7" i="10"/>
  <c r="E5" i="10"/>
  <c r="E24" i="10" s="1"/>
  <c r="D5" i="10"/>
  <c r="D24" i="10" s="1"/>
  <c r="C5" i="10"/>
  <c r="C24" i="10" s="1"/>
  <c r="F37" i="6"/>
  <c r="E37" i="6"/>
  <c r="D37" i="6"/>
  <c r="C37" i="6"/>
  <c r="E35" i="7"/>
  <c r="E14" i="10" s="1"/>
  <c r="D35" i="7"/>
  <c r="D14" i="10" s="1"/>
  <c r="C35" i="7"/>
  <c r="C14" i="10" s="1"/>
  <c r="F34" i="7"/>
  <c r="F33" i="7"/>
  <c r="F32" i="7"/>
  <c r="F31" i="7"/>
  <c r="F30" i="7"/>
  <c r="B41" i="7"/>
  <c r="B40" i="7"/>
  <c r="B39" i="7"/>
  <c r="E27" i="7"/>
  <c r="E7" i="10" s="1"/>
  <c r="D27" i="7"/>
  <c r="C27" i="7"/>
  <c r="C7" i="10" s="1"/>
  <c r="F26" i="7"/>
  <c r="F25" i="7"/>
  <c r="F23" i="7"/>
  <c r="F5" i="10" s="1"/>
  <c r="E21" i="6"/>
  <c r="D21" i="6"/>
  <c r="C21" i="6"/>
  <c r="E20" i="6"/>
  <c r="D20" i="6"/>
  <c r="C20" i="6"/>
  <c r="E18" i="6"/>
  <c r="D18" i="6"/>
  <c r="F18" i="6" s="1"/>
  <c r="C18" i="6"/>
  <c r="E10" i="6"/>
  <c r="D10" i="6"/>
  <c r="C10" i="6"/>
  <c r="F8" i="6"/>
  <c r="E16" i="7"/>
  <c r="D16" i="7"/>
  <c r="E14" i="7"/>
  <c r="D14" i="7"/>
  <c r="E12" i="7"/>
  <c r="D12" i="7"/>
  <c r="E10" i="7"/>
  <c r="D10" i="7"/>
  <c r="E8" i="7"/>
  <c r="D8" i="7"/>
  <c r="E23" i="10" l="1"/>
  <c r="D23" i="10"/>
  <c r="F24" i="10"/>
  <c r="F23" i="10"/>
  <c r="F35" i="7"/>
  <c r="F12" i="12"/>
  <c r="E39" i="12"/>
  <c r="D39" i="12"/>
  <c r="F16" i="12"/>
  <c r="F8" i="12"/>
  <c r="C37" i="12" s="1"/>
  <c r="F10" i="12"/>
  <c r="E38" i="12" s="1"/>
  <c r="E17" i="12"/>
  <c r="C39" i="12"/>
  <c r="F39" i="12" s="1"/>
  <c r="C40" i="12"/>
  <c r="E40" i="12"/>
  <c r="D40" i="12"/>
  <c r="E41" i="12"/>
  <c r="C38" i="12"/>
  <c r="D17" i="12"/>
  <c r="C41" i="12"/>
  <c r="D41" i="12"/>
  <c r="C22" i="10"/>
  <c r="E22" i="10"/>
  <c r="D22" i="10"/>
  <c r="F22" i="10"/>
  <c r="C23" i="10"/>
  <c r="C16" i="10"/>
  <c r="D16" i="10"/>
  <c r="E16" i="10"/>
  <c r="F10" i="7"/>
  <c r="F27" i="7"/>
  <c r="F7" i="10" s="1"/>
  <c r="F14" i="7"/>
  <c r="F12" i="7"/>
  <c r="D39" i="7" s="1"/>
  <c r="D17" i="7"/>
  <c r="E17" i="7"/>
  <c r="D30" i="6"/>
  <c r="F16" i="7"/>
  <c r="E30" i="6"/>
  <c r="F10" i="6"/>
  <c r="F20" i="6"/>
  <c r="E28" i="6"/>
  <c r="D29" i="6"/>
  <c r="E29" i="6"/>
  <c r="D28" i="6"/>
  <c r="C30" i="6"/>
  <c r="D12" i="6"/>
  <c r="D13" i="6" s="1"/>
  <c r="E12" i="6"/>
  <c r="E13" i="6" s="1"/>
  <c r="F21" i="6"/>
  <c r="C12" i="6"/>
  <c r="C28" i="6"/>
  <c r="F6" i="6"/>
  <c r="F28" i="6" s="1"/>
  <c r="F9" i="6"/>
  <c r="C29" i="6"/>
  <c r="F8" i="7"/>
  <c r="C37" i="7" s="1"/>
  <c r="F43" i="6" l="1"/>
  <c r="F14" i="10"/>
  <c r="F16" i="10" s="1"/>
  <c r="D37" i="12"/>
  <c r="D38" i="12"/>
  <c r="E37" i="12"/>
  <c r="F17" i="12"/>
  <c r="F38" i="12"/>
  <c r="E42" i="12"/>
  <c r="E43" i="12" s="1"/>
  <c r="E45" i="12" s="1"/>
  <c r="E46" i="12" s="1"/>
  <c r="F37" i="12"/>
  <c r="C42" i="12"/>
  <c r="C43" i="12" s="1"/>
  <c r="C45" i="12" s="1"/>
  <c r="C46" i="12" s="1"/>
  <c r="D42" i="12"/>
  <c r="D43" i="12" s="1"/>
  <c r="D45" i="12" s="1"/>
  <c r="D46" i="12" s="1"/>
  <c r="F41" i="12"/>
  <c r="F40" i="12"/>
  <c r="E38" i="7"/>
  <c r="D38" i="7"/>
  <c r="C38" i="7"/>
  <c r="D41" i="7"/>
  <c r="F17" i="7"/>
  <c r="F38" i="6" s="1"/>
  <c r="F39" i="6" s="1"/>
  <c r="F45" i="6" s="1"/>
  <c r="F46" i="6" s="1"/>
  <c r="C41" i="7"/>
  <c r="E40" i="7"/>
  <c r="C40" i="7"/>
  <c r="C39" i="7"/>
  <c r="E39" i="7"/>
  <c r="E37" i="7"/>
  <c r="D37" i="7"/>
  <c r="D40" i="7"/>
  <c r="E41" i="7"/>
  <c r="C13" i="6"/>
  <c r="F12" i="6"/>
  <c r="F13" i="6" s="1"/>
  <c r="F30" i="6"/>
  <c r="F29" i="6"/>
  <c r="F42" i="12" l="1"/>
  <c r="F43" i="12" s="1"/>
  <c r="F45" i="12" s="1"/>
  <c r="F46" i="12" s="1"/>
  <c r="C42" i="7"/>
  <c r="D42" i="7"/>
  <c r="E42" i="7"/>
  <c r="F38" i="7"/>
  <c r="F41" i="7"/>
  <c r="F40" i="7"/>
  <c r="F39" i="7"/>
  <c r="F37" i="7"/>
  <c r="E43" i="7" l="1"/>
  <c r="E8" i="10"/>
  <c r="E22" i="6"/>
  <c r="E41" i="6" s="1"/>
  <c r="D43" i="7"/>
  <c r="D22" i="6"/>
  <c r="D41" i="6" s="1"/>
  <c r="D8" i="10"/>
  <c r="C43" i="7"/>
  <c r="C22" i="6"/>
  <c r="C41" i="6" s="1"/>
  <c r="C8" i="10"/>
  <c r="F42" i="7"/>
  <c r="E24" i="6"/>
  <c r="E25" i="6" s="1"/>
  <c r="E27" i="6" s="1"/>
  <c r="D24" i="6" l="1"/>
  <c r="D25" i="6" s="1"/>
  <c r="D27" i="6" s="1"/>
  <c r="D31" i="6"/>
  <c r="F22" i="6"/>
  <c r="F43" i="7"/>
  <c r="F8" i="10"/>
  <c r="C45" i="7"/>
  <c r="C9" i="10"/>
  <c r="C31" i="6"/>
  <c r="D45" i="7"/>
  <c r="D9" i="10"/>
  <c r="C24" i="6"/>
  <c r="C25" i="6" s="1"/>
  <c r="C27" i="6" s="1"/>
  <c r="E31" i="6"/>
  <c r="E45" i="7"/>
  <c r="E9" i="10"/>
  <c r="E29" i="10" l="1"/>
  <c r="E34" i="10" s="1"/>
  <c r="E28" i="10"/>
  <c r="E33" i="10" s="1"/>
  <c r="E27" i="10"/>
  <c r="E32" i="10" s="1"/>
  <c r="E46" i="7"/>
  <c r="E11" i="10"/>
  <c r="D29" i="10"/>
  <c r="D34" i="10" s="1"/>
  <c r="D28" i="10"/>
  <c r="D33" i="10" s="1"/>
  <c r="D27" i="10"/>
  <c r="D32" i="10" s="1"/>
  <c r="D46" i="7"/>
  <c r="D11" i="10"/>
  <c r="C29" i="10"/>
  <c r="C34" i="10" s="1"/>
  <c r="C28" i="10"/>
  <c r="C33" i="10" s="1"/>
  <c r="C27" i="10"/>
  <c r="C32" i="10" s="1"/>
  <c r="C46" i="7"/>
  <c r="C11" i="10"/>
  <c r="F24" i="6"/>
  <c r="F25" i="6" s="1"/>
  <c r="F27" i="6" s="1"/>
  <c r="F45" i="7"/>
  <c r="F9" i="10"/>
  <c r="F31" i="6"/>
  <c r="F41" i="6"/>
  <c r="G22" i="6"/>
  <c r="E12" i="10" l="1"/>
  <c r="E49" i="12"/>
  <c r="E48" i="12"/>
  <c r="D12" i="10"/>
  <c r="D49" i="12"/>
  <c r="D48" i="12"/>
  <c r="C12" i="10"/>
  <c r="C49" i="12"/>
  <c r="C48" i="12"/>
  <c r="F48" i="6"/>
  <c r="F49" i="6" s="1"/>
  <c r="F42" i="6"/>
  <c r="F28" i="10"/>
  <c r="F33" i="10" s="1"/>
  <c r="F29" i="10"/>
  <c r="F34" i="10" s="1"/>
  <c r="F27" i="10"/>
  <c r="F32" i="10" s="1"/>
  <c r="F46" i="7"/>
  <c r="F11" i="10"/>
  <c r="F12" i="10" l="1"/>
  <c r="F48" i="12"/>
  <c r="F49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Vyara Cassar</author>
  </authors>
  <commentList>
    <comment ref="C10" authorId="0" shapeId="0" xr:uid="{C74295BC-0669-4792-A0C6-D8712881713D}">
      <text>
        <r>
          <rPr>
            <b/>
            <sz val="9"/>
            <color indexed="81"/>
            <rFont val="Tahoma"/>
            <family val="2"/>
          </rPr>
          <t>Vyara Cassar:</t>
        </r>
        <r>
          <rPr>
            <sz val="9"/>
            <color indexed="81"/>
            <rFont val="Tahoma"/>
            <family val="2"/>
          </rPr>
          <t xml:space="preserve">
Categories are for illustrative purpose
</t>
        </r>
      </text>
    </comment>
    <comment ref="C15" authorId="0" shapeId="0" xr:uid="{29C937A0-12D8-430C-886C-449BA7FA2E3B}">
      <text>
        <r>
          <rPr>
            <b/>
            <sz val="9"/>
            <color indexed="81"/>
            <rFont val="Tahoma"/>
            <family val="2"/>
          </rPr>
          <t>Vyara Cassar:</t>
        </r>
        <r>
          <rPr>
            <sz val="9"/>
            <color indexed="81"/>
            <rFont val="Tahoma"/>
            <family val="2"/>
          </rPr>
          <t xml:space="preserve">
Categories are for illustrative puspose</t>
        </r>
      </text>
    </comment>
    <comment ref="C19" authorId="0" shapeId="0" xr:uid="{745C71DF-F180-4866-B50F-C90A2734A363}">
      <text>
        <r>
          <rPr>
            <b/>
            <sz val="9"/>
            <color indexed="81"/>
            <rFont val="Tahoma"/>
            <family val="2"/>
          </rPr>
          <t>Vyara Cassar:</t>
        </r>
        <r>
          <rPr>
            <sz val="9"/>
            <color indexed="81"/>
            <rFont val="Tahoma"/>
            <family val="2"/>
          </rPr>
          <t xml:space="preserve">
Categories are for illustrative purposes</t>
        </r>
      </text>
    </comment>
  </commentList>
</comments>
</file>

<file path=xl/sharedStrings.xml><?xml version="1.0" encoding="utf-8"?>
<sst xmlns="http://schemas.openxmlformats.org/spreadsheetml/2006/main" count="219" uniqueCount="112">
  <si>
    <t>Practical Capacity - Assuming 2 weeks vacation, 8 holidays, 7 sick days per year in US (google data)</t>
  </si>
  <si>
    <t xml:space="preserve">Yearly </t>
  </si>
  <si>
    <t>Activity</t>
  </si>
  <si>
    <t>No of employees</t>
  </si>
  <si>
    <t>Total Budgeted indirect cost</t>
  </si>
  <si>
    <t>Budgeted Hours of cost allocation base</t>
  </si>
  <si>
    <t>Budgeted Indirect Cost Rate</t>
  </si>
  <si>
    <t>5 days/week, 8h/day</t>
  </si>
  <si>
    <t>40hrs/week</t>
  </si>
  <si>
    <t>Host Identification</t>
  </si>
  <si>
    <t>per hour</t>
  </si>
  <si>
    <t>52 weeks/yr</t>
  </si>
  <si>
    <t>Venue Interaction</t>
  </si>
  <si>
    <t>List Building</t>
  </si>
  <si>
    <t>Guest Interaction</t>
  </si>
  <si>
    <t>Account Mgt</t>
  </si>
  <si>
    <t>Total OH Cost</t>
  </si>
  <si>
    <t>SG1</t>
  </si>
  <si>
    <t>SG2</t>
  </si>
  <si>
    <t>SG3</t>
  </si>
  <si>
    <t>Total</t>
  </si>
  <si>
    <t>Revenue</t>
  </si>
  <si>
    <t>Direct material costs</t>
  </si>
  <si>
    <t>Direct labour costs</t>
  </si>
  <si>
    <t>Gross profit</t>
  </si>
  <si>
    <t>GP margin %</t>
  </si>
  <si>
    <t>Overhead costs (TDABC)</t>
  </si>
  <si>
    <t>GP TDABC vc GP (OH 185%)</t>
  </si>
  <si>
    <t>DM % of revenue</t>
  </si>
  <si>
    <t>DL % of revenue</t>
  </si>
  <si>
    <t>OH % of revenue (185% of DL)</t>
  </si>
  <si>
    <t>Overhead costs (185% of DL)</t>
  </si>
  <si>
    <t>OH % of revenue (TDABC)</t>
  </si>
  <si>
    <t>Current approach to overhead allcoation</t>
  </si>
  <si>
    <t>TDABC approach to overhead allcoation</t>
  </si>
  <si>
    <t>NO. of hours per year</t>
  </si>
  <si>
    <t>Profitability with TDABC</t>
  </si>
  <si>
    <t>Total direct costs</t>
  </si>
  <si>
    <t>Total overhead</t>
  </si>
  <si>
    <t>No. of hours per activity</t>
  </si>
  <si>
    <t>Total cost</t>
  </si>
  <si>
    <t>Gross Profit</t>
  </si>
  <si>
    <t>Total hours</t>
  </si>
  <si>
    <t>Summary Profitability</t>
  </si>
  <si>
    <t>Applying TDABC using practical capacity</t>
  </si>
  <si>
    <t>Overhead comparison</t>
  </si>
  <si>
    <t>Rate per hour (PC)</t>
  </si>
  <si>
    <t>Total hours allocated</t>
  </si>
  <si>
    <t>Rate per hour (derived)</t>
  </si>
  <si>
    <t>Reduction in hours</t>
  </si>
  <si>
    <t>%</t>
  </si>
  <si>
    <t>Reduction in overhead</t>
  </si>
  <si>
    <t>Pricing considerations</t>
  </si>
  <si>
    <t>Revenue per OH hour</t>
  </si>
  <si>
    <t>Increase in revenue by:</t>
  </si>
  <si>
    <t>Gross profit, if revenue increases by:</t>
  </si>
  <si>
    <t>GP margin</t>
  </si>
  <si>
    <t>Price sensitivity analysis</t>
  </si>
  <si>
    <t>vs GP PC</t>
  </si>
  <si>
    <t>% change in GP</t>
  </si>
  <si>
    <t>Applying TDABC using theoretical capacity</t>
  </si>
  <si>
    <t xml:space="preserve">VORAY SMART GATHERING AUTOMATED COST CALCULATOR </t>
  </si>
  <si>
    <t>Assumption:</t>
  </si>
  <si>
    <t>Budgeted Indirect cost rate</t>
  </si>
  <si>
    <r>
      <t xml:space="preserve">BASIC PACKAGE </t>
    </r>
    <r>
      <rPr>
        <b/>
        <sz val="14"/>
        <color theme="1"/>
        <rFont val="游ゴシック"/>
        <family val="2"/>
        <scheme val="minor"/>
      </rPr>
      <t>(Minimum base hours needed  for an event )</t>
    </r>
  </si>
  <si>
    <t>base host identifictaion - past host</t>
  </si>
  <si>
    <t>base venue interaction   - returning venue</t>
  </si>
  <si>
    <t>base list building - none from team</t>
  </si>
  <si>
    <t>base guest interaction - min is 10</t>
  </si>
  <si>
    <t>base account mngmnt - min is 10</t>
  </si>
  <si>
    <r>
      <rPr>
        <b/>
        <sz val="18"/>
        <color theme="1"/>
        <rFont val="游ゴシック"/>
        <family val="2"/>
        <scheme val="minor"/>
      </rPr>
      <t>ALA CARTE ADD ON OPTIONS</t>
    </r>
    <r>
      <rPr>
        <sz val="11"/>
        <color theme="1"/>
        <rFont val="游ゴシック"/>
        <family val="2"/>
        <scheme val="minor"/>
      </rPr>
      <t xml:space="preserve"> </t>
    </r>
    <r>
      <rPr>
        <sz val="14"/>
        <color theme="1"/>
        <rFont val="游ゴシック"/>
        <family val="2"/>
        <scheme val="minor"/>
      </rPr>
      <t>(Different Parameters that can vary for each activity depending on the Gathering nature)</t>
    </r>
  </si>
  <si>
    <t xml:space="preserve">if past guets </t>
  </si>
  <si>
    <t xml:space="preserve">if from employee referral </t>
  </si>
  <si>
    <t>if from community referral</t>
  </si>
  <si>
    <t>if cold outreach</t>
  </si>
  <si>
    <t>Venue Intraction</t>
  </si>
  <si>
    <t>new venue sliding scale (asusmption)</t>
  </si>
  <si>
    <t>building one list by Voray employees</t>
  </si>
  <si>
    <t>building second list later</t>
  </si>
  <si>
    <t>sliding scale</t>
  </si>
  <si>
    <t>Max 50</t>
  </si>
  <si>
    <t>Account Mngmnt</t>
  </si>
  <si>
    <t>Sliding sclae</t>
  </si>
  <si>
    <t xml:space="preserve">Cells in red are preset values and formula </t>
  </si>
  <si>
    <t>Cells in green are for the team to edit with a value of 1 wherever applicable</t>
  </si>
  <si>
    <t xml:space="preserve">Assumed a sliding scale for Venue Interaction , Guest Interaction and Account Management based on data provided in case. This is editable if the scale is different </t>
  </si>
  <si>
    <t>Direct material</t>
  </si>
  <si>
    <t>Past venue</t>
  </si>
  <si>
    <t>New venue</t>
  </si>
  <si>
    <t>Other</t>
  </si>
  <si>
    <t>Direct labour</t>
  </si>
  <si>
    <t>CEO</t>
  </si>
  <si>
    <t>New market &amp; new client</t>
  </si>
  <si>
    <t>Existing market &amp; new client</t>
  </si>
  <si>
    <t>New market &amp; existing client</t>
  </si>
  <si>
    <t>Platform</t>
  </si>
  <si>
    <t>Budgeted hours</t>
  </si>
  <si>
    <t>Support activities</t>
  </si>
  <si>
    <t>Set up activities</t>
  </si>
  <si>
    <t>Price of SG1 ($)</t>
  </si>
  <si>
    <t>Price of SG2 (&amp;)</t>
  </si>
  <si>
    <t>Price of SG3 (SG3)</t>
  </si>
  <si>
    <t xml:space="preserve">List bldg hours for SG1,2,3 together </t>
  </si>
  <si>
    <t>Idle hours IF no other project that month</t>
  </si>
  <si>
    <t>List Bldg resources</t>
  </si>
  <si>
    <t>List Bldg resource per hour budgeted cost rate</t>
  </si>
  <si>
    <t>Costs incurred for Idle hours</t>
  </si>
  <si>
    <t>Example for List Bldng - Calculating Idle Hours</t>
  </si>
  <si>
    <t>List bldg hours for SG 2 &amp; 3 only ( IF we decline SG1)</t>
  </si>
  <si>
    <t>Idle hours IF no other project that month &amp; SG1 declined</t>
  </si>
  <si>
    <t>Cost incurred for Idle hours</t>
  </si>
  <si>
    <t>Working hours of 3 employees in one month( 8hrs*5days*4weeks)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</si>
</sst>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_(* #,##0.00_);_(* \(#,##0.00\);_(* &quot;-&quot;??_);_(@_)"/>
    <numFmt numFmtId="177" formatCode="_(&quot;$&quot;* #,##0_);_(&quot;$&quot;* \(#,##0\);_(&quot;$&quot;* &quot;-&quot;??_);_(@_)"/>
    <numFmt numFmtId="178" formatCode="#,##0\ &quot;pp&quot;"/>
    <numFmt numFmtId="179" formatCode="[$$-409]#,##0.0"/>
    <numFmt numFmtId="180" formatCode="[$$-409]#,##0"/>
    <numFmt numFmtId="181" formatCode="_(* #,##0.0_);_(* \(#,##0.0\);_(* &quot;-&quot;??_);_(@_)"/>
    <numFmt numFmtId="182" formatCode="_-* #,##0.0_-;\-* #,##0.0_-;_-* &quot;-&quot;??_-;_-@_-"/>
    <numFmt numFmtId="183" formatCode="[$$-409]#,##0.00"/>
    <numFmt numFmtId="184" formatCode="&quot;$&quot;#,##0.00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i/>
      <sz val="11"/>
      <color theme="1"/>
      <name val="游ゴシック"/>
      <family val="2"/>
      <scheme val="minor"/>
    </font>
    <font>
      <sz val="11"/>
      <color theme="0" tint="-0.499984740745262"/>
      <name val="游ゴシック"/>
      <family val="2"/>
      <scheme val="minor"/>
    </font>
    <font>
      <b/>
      <sz val="11"/>
      <color theme="0" tint="-0.499984740745262"/>
      <name val="游ゴシック"/>
      <family val="2"/>
      <scheme val="minor"/>
    </font>
    <font>
      <b/>
      <i/>
      <sz val="11"/>
      <color theme="1"/>
      <name val="游ゴシック"/>
      <family val="2"/>
      <scheme val="minor"/>
    </font>
    <font>
      <b/>
      <sz val="20"/>
      <color theme="1"/>
      <name val="游ゴシック"/>
      <family val="2"/>
      <scheme val="minor"/>
    </font>
    <font>
      <b/>
      <u/>
      <sz val="20"/>
      <color theme="1"/>
      <name val="游ゴシック"/>
      <family val="2"/>
      <scheme val="minor"/>
    </font>
    <font>
      <b/>
      <sz val="18"/>
      <color theme="1"/>
      <name val="游ゴシック"/>
      <family val="2"/>
      <scheme val="minor"/>
    </font>
    <font>
      <b/>
      <sz val="14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i/>
      <sz val="14"/>
      <color theme="1"/>
      <name val="游ゴシック"/>
      <family val="2"/>
      <scheme val="minor"/>
    </font>
    <font>
      <b/>
      <sz val="22"/>
      <color theme="1"/>
      <name val="游ゴシック"/>
      <family val="2"/>
      <scheme val="minor"/>
    </font>
    <font>
      <b/>
      <i/>
      <sz val="14"/>
      <color theme="1"/>
      <name val="游ゴシック"/>
      <family val="2"/>
      <scheme val="minor"/>
    </font>
    <font>
      <b/>
      <sz val="16"/>
      <color theme="1"/>
      <name val="游ゴシック"/>
      <family val="2"/>
      <scheme val="minor"/>
    </font>
    <font>
      <b/>
      <sz val="11"/>
      <color rgb="FF0070C0"/>
      <name val="游ゴシック"/>
      <family val="2"/>
      <scheme val="minor"/>
    </font>
    <font>
      <sz val="11"/>
      <color rgb="FF0070C0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0" fontId="3" fillId="0" borderId="0" xfId="0" applyFont="1" applyAlignment="1">
      <alignment horizontal="center"/>
    </xf>
    <xf numFmtId="9" fontId="0" fillId="0" borderId="0" xfId="2" applyFont="1"/>
    <xf numFmtId="0" fontId="2" fillId="3" borderId="0" xfId="0" applyFont="1" applyFill="1"/>
    <xf numFmtId="0" fontId="2" fillId="2" borderId="0" xfId="0" applyFont="1" applyFill="1"/>
    <xf numFmtId="0" fontId="0" fillId="5" borderId="0" xfId="0" applyFill="1"/>
    <xf numFmtId="0" fontId="8" fillId="0" borderId="0" xfId="0" applyFont="1"/>
    <xf numFmtId="9" fontId="8" fillId="0" borderId="0" xfId="2" applyFont="1"/>
    <xf numFmtId="9" fontId="0" fillId="0" borderId="0" xfId="0" applyNumberFormat="1"/>
    <xf numFmtId="179" fontId="0" fillId="0" borderId="0" xfId="0" applyNumberFormat="1"/>
    <xf numFmtId="180" fontId="2" fillId="0" borderId="0" xfId="0" applyNumberFormat="1" applyFont="1"/>
    <xf numFmtId="180" fontId="0" fillId="0" borderId="0" xfId="0" applyNumberFormat="1"/>
    <xf numFmtId="180" fontId="0" fillId="5" borderId="0" xfId="0" applyNumberFormat="1" applyFill="1"/>
    <xf numFmtId="180" fontId="2" fillId="0" borderId="2" xfId="0" applyNumberFormat="1" applyFont="1" applyBorder="1"/>
    <xf numFmtId="0" fontId="8" fillId="0" borderId="3" xfId="0" applyFont="1" applyBorder="1"/>
    <xf numFmtId="178" fontId="8" fillId="0" borderId="4" xfId="0" applyNumberFormat="1" applyFont="1" applyBorder="1"/>
    <xf numFmtId="178" fontId="8" fillId="0" borderId="5" xfId="0" applyNumberFormat="1" applyFont="1" applyBorder="1"/>
    <xf numFmtId="0" fontId="8" fillId="0" borderId="6" xfId="0" applyFont="1" applyBorder="1"/>
    <xf numFmtId="9" fontId="8" fillId="0" borderId="0" xfId="2" applyFont="1" applyBorder="1"/>
    <xf numFmtId="9" fontId="8" fillId="0" borderId="7" xfId="2" applyFont="1" applyBorder="1"/>
    <xf numFmtId="0" fontId="8" fillId="0" borderId="8" xfId="0" applyFont="1" applyBorder="1"/>
    <xf numFmtId="9" fontId="8" fillId="0" borderId="9" xfId="2" applyFont="1" applyBorder="1"/>
    <xf numFmtId="9" fontId="8" fillId="0" borderId="10" xfId="2" applyFont="1" applyBorder="1"/>
    <xf numFmtId="0" fontId="3" fillId="2" borderId="0" xfId="0" applyFont="1" applyFill="1" applyAlignment="1">
      <alignment horizontal="right"/>
    </xf>
    <xf numFmtId="0" fontId="2" fillId="6" borderId="0" xfId="0" applyFont="1" applyFill="1"/>
    <xf numFmtId="0" fontId="0" fillId="6" borderId="0" xfId="0" applyFill="1"/>
    <xf numFmtId="180" fontId="2" fillId="6" borderId="0" xfId="0" applyNumberFormat="1" applyFont="1" applyFill="1"/>
    <xf numFmtId="179" fontId="2" fillId="6" borderId="0" xfId="0" applyNumberFormat="1" applyFont="1" applyFill="1"/>
    <xf numFmtId="0" fontId="7" fillId="7" borderId="0" xfId="0" applyFont="1" applyFill="1"/>
    <xf numFmtId="0" fontId="6" fillId="7" borderId="0" xfId="0" applyFont="1" applyFill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80" fontId="2" fillId="0" borderId="1" xfId="0" applyNumberFormat="1" applyFont="1" applyBorder="1"/>
    <xf numFmtId="0" fontId="11" fillId="0" borderId="0" xfId="0" applyFont="1" applyAlignment="1">
      <alignment horizontal="left"/>
    </xf>
    <xf numFmtId="0" fontId="10" fillId="0" borderId="1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12" xfId="0" applyBorder="1"/>
    <xf numFmtId="180" fontId="0" fillId="0" borderId="12" xfId="0" applyNumberFormat="1" applyBorder="1"/>
    <xf numFmtId="1" fontId="0" fillId="0" borderId="12" xfId="0" applyNumberFormat="1" applyBorder="1"/>
    <xf numFmtId="1" fontId="0" fillId="5" borderId="0" xfId="0" applyNumberFormat="1" applyFill="1"/>
    <xf numFmtId="9" fontId="8" fillId="5" borderId="0" xfId="2" applyFont="1" applyFill="1"/>
    <xf numFmtId="0" fontId="0" fillId="5" borderId="12" xfId="0" applyFill="1" applyBorder="1"/>
    <xf numFmtId="180" fontId="0" fillId="5" borderId="12" xfId="0" applyNumberFormat="1" applyFill="1" applyBorder="1"/>
    <xf numFmtId="9" fontId="8" fillId="5" borderId="12" xfId="2" applyFont="1" applyFill="1" applyBorder="1"/>
    <xf numFmtId="0" fontId="0" fillId="0" borderId="13" xfId="0" applyBorder="1"/>
    <xf numFmtId="179" fontId="0" fillId="0" borderId="14" xfId="0" applyNumberFormat="1" applyBorder="1"/>
    <xf numFmtId="179" fontId="0" fillId="0" borderId="15" xfId="0" applyNumberFormat="1" applyBorder="1"/>
    <xf numFmtId="9" fontId="11" fillId="0" borderId="0" xfId="2" applyFont="1"/>
    <xf numFmtId="0" fontId="2" fillId="0" borderId="3" xfId="0" applyFont="1" applyBorder="1" applyAlignment="1">
      <alignment horizontal="left"/>
    </xf>
    <xf numFmtId="180" fontId="0" fillId="0" borderId="4" xfId="0" applyNumberFormat="1" applyBorder="1"/>
    <xf numFmtId="180" fontId="0" fillId="0" borderId="5" xfId="0" applyNumberFormat="1" applyBorder="1"/>
    <xf numFmtId="0" fontId="11" fillId="0" borderId="8" xfId="0" applyFont="1" applyBorder="1" applyAlignment="1">
      <alignment horizontal="left"/>
    </xf>
    <xf numFmtId="0" fontId="0" fillId="0" borderId="16" xfId="0" applyBorder="1"/>
    <xf numFmtId="0" fontId="2" fillId="0" borderId="16" xfId="0" applyFont="1" applyBorder="1"/>
    <xf numFmtId="0" fontId="0" fillId="4" borderId="16" xfId="0" applyFill="1" applyBorder="1"/>
    <xf numFmtId="0" fontId="12" fillId="4" borderId="16" xfId="0" applyFont="1" applyFill="1" applyBorder="1"/>
    <xf numFmtId="0" fontId="14" fillId="0" borderId="16" xfId="0" applyFont="1" applyBorder="1" applyAlignment="1">
      <alignment wrapText="1"/>
    </xf>
    <xf numFmtId="0" fontId="14" fillId="0" borderId="16" xfId="0" applyFont="1" applyBorder="1"/>
    <xf numFmtId="0" fontId="14" fillId="0" borderId="0" xfId="0" applyFont="1"/>
    <xf numFmtId="0" fontId="16" fillId="0" borderId="16" xfId="0" applyFont="1" applyBorder="1"/>
    <xf numFmtId="0" fontId="16" fillId="4" borderId="16" xfId="0" applyFont="1" applyFill="1" applyBorder="1"/>
    <xf numFmtId="2" fontId="16" fillId="4" borderId="16" xfId="0" applyNumberFormat="1" applyFont="1" applyFill="1" applyBorder="1"/>
    <xf numFmtId="0" fontId="15" fillId="0" borderId="16" xfId="0" applyFont="1" applyBorder="1"/>
    <xf numFmtId="0" fontId="16" fillId="8" borderId="16" xfId="0" applyFont="1" applyFill="1" applyBorder="1"/>
    <xf numFmtId="0" fontId="16" fillId="0" borderId="16" xfId="0" applyFont="1" applyBorder="1" applyAlignment="1">
      <alignment horizontal="right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centerContinuous"/>
    </xf>
    <xf numFmtId="0" fontId="0" fillId="0" borderId="19" xfId="0" applyBorder="1"/>
    <xf numFmtId="0" fontId="14" fillId="9" borderId="16" xfId="0" applyFont="1" applyFill="1" applyBorder="1" applyAlignment="1">
      <alignment wrapText="1"/>
    </xf>
    <xf numFmtId="0" fontId="14" fillId="0" borderId="18" xfId="0" applyFont="1" applyBorder="1"/>
    <xf numFmtId="181" fontId="16" fillId="8" borderId="16" xfId="1" applyNumberFormat="1" applyFont="1" applyFill="1" applyBorder="1"/>
    <xf numFmtId="181" fontId="14" fillId="0" borderId="16" xfId="1" applyNumberFormat="1" applyFont="1" applyBorder="1" applyAlignment="1">
      <alignment wrapText="1"/>
    </xf>
    <xf numFmtId="181" fontId="16" fillId="4" borderId="16" xfId="1" applyNumberFormat="1" applyFont="1" applyFill="1" applyBorder="1"/>
    <xf numFmtId="181" fontId="0" fillId="0" borderId="16" xfId="1" applyNumberFormat="1" applyFont="1" applyBorder="1"/>
    <xf numFmtId="181" fontId="16" fillId="0" borderId="16" xfId="1" applyNumberFormat="1" applyFont="1" applyBorder="1"/>
    <xf numFmtId="0" fontId="15" fillId="0" borderId="0" xfId="0" applyFont="1"/>
    <xf numFmtId="182" fontId="15" fillId="0" borderId="0" xfId="0" applyNumberFormat="1" applyFont="1"/>
    <xf numFmtId="9" fontId="19" fillId="0" borderId="0" xfId="2" applyFont="1"/>
    <xf numFmtId="0" fontId="1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20" fillId="4" borderId="16" xfId="1" applyNumberFormat="1" applyFont="1" applyFill="1" applyBorder="1"/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21" fillId="0" borderId="11" xfId="0" applyFont="1" applyBorder="1" applyAlignment="1">
      <alignment vertical="center"/>
    </xf>
    <xf numFmtId="184" fontId="0" fillId="0" borderId="0" xfId="0" applyNumberFormat="1"/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2" fillId="0" borderId="16" xfId="0" applyFont="1" applyBorder="1" applyAlignment="1">
      <alignment wrapText="1"/>
    </xf>
    <xf numFmtId="184" fontId="2" fillId="0" borderId="16" xfId="0" applyNumberFormat="1" applyFont="1" applyBorder="1"/>
    <xf numFmtId="179" fontId="2" fillId="0" borderId="16" xfId="0" applyNumberFormat="1" applyFont="1" applyBorder="1"/>
    <xf numFmtId="184" fontId="0" fillId="0" borderId="16" xfId="0" applyNumberFormat="1" applyBorder="1"/>
    <xf numFmtId="3" fontId="0" fillId="0" borderId="16" xfId="0" applyNumberFormat="1" applyBorder="1"/>
    <xf numFmtId="183" fontId="0" fillId="0" borderId="16" xfId="0" applyNumberFormat="1" applyBorder="1"/>
    <xf numFmtId="0" fontId="0" fillId="0" borderId="16" xfId="0" applyBorder="1" applyAlignment="1">
      <alignment horizontal="right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8" borderId="18" xfId="0" applyFill="1" applyBorder="1" applyAlignment="1">
      <alignment horizontal="center" wrapText="1"/>
    </xf>
    <xf numFmtId="0" fontId="0" fillId="8" borderId="19" xfId="0" applyFill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6" fillId="4" borderId="0" xfId="0" applyFont="1" applyFill="1" applyAlignment="1">
      <alignment horizontal="left"/>
    </xf>
    <xf numFmtId="0" fontId="16" fillId="8" borderId="17" xfId="0" applyFont="1" applyFill="1" applyBorder="1" applyAlignment="1">
      <alignment horizontal="left"/>
    </xf>
    <xf numFmtId="0" fontId="16" fillId="8" borderId="0" xfId="0" applyFont="1" applyFill="1" applyAlignment="1">
      <alignment horizontal="left"/>
    </xf>
    <xf numFmtId="0" fontId="14" fillId="4" borderId="18" xfId="0" applyFont="1" applyFill="1" applyBorder="1" applyAlignment="1">
      <alignment horizontal="left" wrapText="1"/>
    </xf>
    <xf numFmtId="0" fontId="14" fillId="4" borderId="19" xfId="0" applyFont="1" applyFill="1" applyBorder="1" applyAlignment="1">
      <alignment horizontal="left" wrapText="1"/>
    </xf>
  </cellXfs>
  <cellStyles count="3">
    <cellStyle name="パーセント" xfId="2" builtinId="5"/>
    <cellStyle name="桁区切り [0.00]" xfId="1" builtin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1</xdr:row>
      <xdr:rowOff>0</xdr:rowOff>
    </xdr:from>
    <xdr:to>
      <xdr:col>8</xdr:col>
      <xdr:colOff>590551</xdr:colOff>
      <xdr:row>12</xdr:row>
      <xdr:rowOff>31015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BD515E-97C5-4F49-A181-E39EE8D2C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1" y="190500"/>
          <a:ext cx="4781550" cy="212651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13</xdr:row>
      <xdr:rowOff>133283</xdr:rowOff>
    </xdr:from>
    <xdr:to>
      <xdr:col>8</xdr:col>
      <xdr:colOff>165047</xdr:colOff>
      <xdr:row>22</xdr:row>
      <xdr:rowOff>103095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380FE0-6A6A-43BB-838E-8E4FB4C6A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" y="2609783"/>
          <a:ext cx="4365572" cy="168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C735-3279-4A89-B778-314EB32ED3AE}">
  <dimension ref="B1:O81"/>
  <sheetViews>
    <sheetView showGridLines="0" topLeftCell="A11" workbookViewId="0">
      <selection activeCell="D29" sqref="D29"/>
    </sheetView>
  </sheetViews>
  <sheetFormatPr defaultRowHeight="18" x14ac:dyDescent="0.45"/>
  <cols>
    <col min="2" max="2" width="26.796875" customWidth="1"/>
    <col min="3" max="3" width="10.19921875" bestFit="1" customWidth="1"/>
    <col min="4" max="4" width="9.296875" bestFit="1" customWidth="1"/>
    <col min="5" max="6" width="10.19921875" bestFit="1" customWidth="1"/>
  </cols>
  <sheetData>
    <row r="1" spans="2:6" ht="34.5" customHeight="1" x14ac:dyDescent="0.45">
      <c r="B1" s="45" t="s">
        <v>43</v>
      </c>
    </row>
    <row r="3" spans="2:6" ht="19.8" x14ac:dyDescent="0.5">
      <c r="B3" s="1" t="s">
        <v>33</v>
      </c>
      <c r="C3" s="6"/>
      <c r="D3" s="6"/>
      <c r="E3" s="6"/>
      <c r="F3" s="6"/>
    </row>
    <row r="4" spans="2:6" ht="19.8" x14ac:dyDescent="0.5">
      <c r="B4" s="9"/>
      <c r="C4" s="28" t="s">
        <v>17</v>
      </c>
      <c r="D4" s="28" t="s">
        <v>18</v>
      </c>
      <c r="E4" s="28" t="s">
        <v>19</v>
      </c>
      <c r="F4" s="28" t="s">
        <v>20</v>
      </c>
    </row>
    <row r="6" spans="2:6" x14ac:dyDescent="0.45">
      <c r="B6" s="1" t="s">
        <v>21</v>
      </c>
      <c r="C6" s="15">
        <v>15000</v>
      </c>
      <c r="D6" s="15">
        <v>8833</v>
      </c>
      <c r="E6" s="15">
        <v>16500</v>
      </c>
      <c r="F6" s="15">
        <f>SUM(C6:E6)</f>
        <v>40333</v>
      </c>
    </row>
    <row r="7" spans="2:6" x14ac:dyDescent="0.45">
      <c r="C7" s="16"/>
      <c r="D7" s="16"/>
      <c r="E7" s="16"/>
      <c r="F7" s="16"/>
    </row>
    <row r="8" spans="2:6" x14ac:dyDescent="0.45">
      <c r="B8" t="s">
        <v>22</v>
      </c>
      <c r="C8" s="16">
        <v>1642</v>
      </c>
      <c r="D8" s="16">
        <v>1520</v>
      </c>
      <c r="E8" s="16">
        <v>4224</v>
      </c>
      <c r="F8" s="16">
        <f t="shared" ref="F8:F10" si="0">SUM(C8:E8)</f>
        <v>7386</v>
      </c>
    </row>
    <row r="9" spans="2:6" x14ac:dyDescent="0.45">
      <c r="B9" t="s">
        <v>23</v>
      </c>
      <c r="C9" s="16">
        <v>3946</v>
      </c>
      <c r="D9" s="16">
        <v>2401</v>
      </c>
      <c r="E9" s="16">
        <v>2274</v>
      </c>
      <c r="F9" s="16">
        <f t="shared" si="0"/>
        <v>8621</v>
      </c>
    </row>
    <row r="10" spans="2:6" x14ac:dyDescent="0.45">
      <c r="B10" s="10" t="s">
        <v>31</v>
      </c>
      <c r="C10" s="17">
        <f>C9*185%</f>
        <v>7300.1</v>
      </c>
      <c r="D10" s="17">
        <f t="shared" ref="D10:E10" si="1">D9*185%</f>
        <v>4441.8500000000004</v>
      </c>
      <c r="E10" s="17">
        <f t="shared" si="1"/>
        <v>4206.9000000000005</v>
      </c>
      <c r="F10" s="17">
        <f t="shared" si="0"/>
        <v>15948.850000000002</v>
      </c>
    </row>
    <row r="11" spans="2:6" x14ac:dyDescent="0.45">
      <c r="C11" s="16"/>
      <c r="D11" s="16"/>
      <c r="E11" s="16"/>
      <c r="F11" s="16"/>
    </row>
    <row r="12" spans="2:6" ht="18.600000000000001" thickBot="1" x14ac:dyDescent="0.5">
      <c r="B12" s="1" t="s">
        <v>24</v>
      </c>
      <c r="C12" s="18">
        <f>C6-SUM(C8:C10)</f>
        <v>2111.8999999999996</v>
      </c>
      <c r="D12" s="18">
        <f t="shared" ref="D12:E12" si="2">D6-SUM(D8:D10)</f>
        <v>470.14999999999964</v>
      </c>
      <c r="E12" s="18">
        <f t="shared" si="2"/>
        <v>5795.0999999999985</v>
      </c>
      <c r="F12" s="18">
        <f t="shared" ref="F12" si="3">SUM(C12:E12)</f>
        <v>8377.1499999999978</v>
      </c>
    </row>
    <row r="13" spans="2:6" x14ac:dyDescent="0.45">
      <c r="B13" s="11" t="s">
        <v>25</v>
      </c>
      <c r="C13" s="12">
        <f>C12/C6</f>
        <v>0.1407933333333333</v>
      </c>
      <c r="D13" s="12">
        <f t="shared" ref="D13:F13" si="4">D12/D6</f>
        <v>5.3226536850447148E-2</v>
      </c>
      <c r="E13" s="12">
        <f t="shared" si="4"/>
        <v>0.35121818181818171</v>
      </c>
      <c r="F13" s="12">
        <f t="shared" si="4"/>
        <v>0.20769965041033392</v>
      </c>
    </row>
    <row r="15" spans="2:6" ht="19.8" x14ac:dyDescent="0.5">
      <c r="B15" s="1" t="s">
        <v>34</v>
      </c>
      <c r="C15" s="6"/>
      <c r="D15" s="6"/>
      <c r="E15" s="6"/>
      <c r="F15" s="6"/>
    </row>
    <row r="16" spans="2:6" ht="19.8" x14ac:dyDescent="0.5">
      <c r="B16" s="9"/>
      <c r="C16" s="28" t="s">
        <v>17</v>
      </c>
      <c r="D16" s="28" t="s">
        <v>18</v>
      </c>
      <c r="E16" s="28" t="s">
        <v>19</v>
      </c>
      <c r="F16" s="28" t="s">
        <v>20</v>
      </c>
    </row>
    <row r="18" spans="2:7" x14ac:dyDescent="0.45">
      <c r="B18" s="1" t="s">
        <v>21</v>
      </c>
      <c r="C18" s="15">
        <f>C6</f>
        <v>15000</v>
      </c>
      <c r="D18" s="15">
        <f t="shared" ref="D18:E18" si="5">D6</f>
        <v>8833</v>
      </c>
      <c r="E18" s="15">
        <f t="shared" si="5"/>
        <v>16500</v>
      </c>
      <c r="F18" s="15">
        <f>SUM(C18:E18)</f>
        <v>40333</v>
      </c>
    </row>
    <row r="19" spans="2:7" x14ac:dyDescent="0.45">
      <c r="C19" s="16"/>
      <c r="D19" s="16"/>
      <c r="E19" s="16"/>
      <c r="F19" s="16"/>
    </row>
    <row r="20" spans="2:7" x14ac:dyDescent="0.45">
      <c r="B20" t="s">
        <v>22</v>
      </c>
      <c r="C20" s="16">
        <f t="shared" ref="C20:E20" si="6">C8</f>
        <v>1642</v>
      </c>
      <c r="D20" s="16">
        <f t="shared" si="6"/>
        <v>1520</v>
      </c>
      <c r="E20" s="16">
        <f t="shared" si="6"/>
        <v>4224</v>
      </c>
      <c r="F20" s="16">
        <f t="shared" ref="F20:F22" si="7">SUM(C20:E20)</f>
        <v>7386</v>
      </c>
    </row>
    <row r="21" spans="2:7" x14ac:dyDescent="0.45">
      <c r="B21" t="s">
        <v>23</v>
      </c>
      <c r="C21" s="16">
        <f t="shared" ref="C21:E21" si="8">C9</f>
        <v>3946</v>
      </c>
      <c r="D21" s="16">
        <f t="shared" si="8"/>
        <v>2401</v>
      </c>
      <c r="E21" s="16">
        <f t="shared" si="8"/>
        <v>2274</v>
      </c>
      <c r="F21" s="16">
        <f t="shared" si="7"/>
        <v>8621</v>
      </c>
    </row>
    <row r="22" spans="2:7" x14ac:dyDescent="0.45">
      <c r="B22" s="10" t="s">
        <v>26</v>
      </c>
      <c r="C22" s="17">
        <f>'Slide 7'!C42</f>
        <v>9554.5478723404249</v>
      </c>
      <c r="D22" s="17">
        <f>'Slide 7'!D42</f>
        <v>1078.0244680851065</v>
      </c>
      <c r="E22" s="17">
        <f>'Slide 7'!E42</f>
        <v>4394.6340425531916</v>
      </c>
      <c r="F22" s="17">
        <f t="shared" si="7"/>
        <v>15027.206382978722</v>
      </c>
      <c r="G22" s="7">
        <f>F22/F10-1</f>
        <v>-5.7787465367175717E-2</v>
      </c>
    </row>
    <row r="23" spans="2:7" x14ac:dyDescent="0.45">
      <c r="C23" s="16"/>
      <c r="D23" s="16"/>
      <c r="E23" s="16"/>
      <c r="F23" s="16"/>
    </row>
    <row r="24" spans="2:7" ht="18.600000000000001" thickBot="1" x14ac:dyDescent="0.5">
      <c r="B24" s="1" t="s">
        <v>24</v>
      </c>
      <c r="C24" s="18">
        <f>C18-SUM(C20:C22)</f>
        <v>-142.54787234042487</v>
      </c>
      <c r="D24" s="18">
        <f t="shared" ref="D24:E24" si="9">D18-SUM(D20:D22)</f>
        <v>3833.9755319148935</v>
      </c>
      <c r="E24" s="18">
        <f t="shared" si="9"/>
        <v>5607.3659574468074</v>
      </c>
      <c r="F24" s="18">
        <f t="shared" ref="F24" si="10">SUM(C24:E24)</f>
        <v>9298.7936170212761</v>
      </c>
    </row>
    <row r="25" spans="2:7" x14ac:dyDescent="0.45">
      <c r="B25" s="11" t="s">
        <v>25</v>
      </c>
      <c r="C25" s="12">
        <f>C24/C18</f>
        <v>-9.5031914893616582E-3</v>
      </c>
      <c r="D25" s="12">
        <f t="shared" ref="D25" si="11">D24/D18</f>
        <v>0.43405134517320204</v>
      </c>
      <c r="E25" s="12">
        <f t="shared" ref="E25:F25" si="12">E24/E18</f>
        <v>0.33984036105738225</v>
      </c>
      <c r="F25" s="12">
        <f t="shared" si="12"/>
        <v>0.23055050745100231</v>
      </c>
    </row>
    <row r="27" spans="2:7" x14ac:dyDescent="0.45">
      <c r="B27" s="19" t="s">
        <v>27</v>
      </c>
      <c r="C27" s="20">
        <f>(C25-C13)*100</f>
        <v>-15.029652482269496</v>
      </c>
      <c r="D27" s="20">
        <f t="shared" ref="D27:E27" si="13">(D25-D13)*100</f>
        <v>38.082480832275486</v>
      </c>
      <c r="E27" s="20">
        <f t="shared" si="13"/>
        <v>-1.1377820760799462</v>
      </c>
      <c r="F27" s="21">
        <f t="shared" ref="F27" si="14">(F25-F13)*100</f>
        <v>2.2850857040668386</v>
      </c>
    </row>
    <row r="28" spans="2:7" x14ac:dyDescent="0.45">
      <c r="B28" s="22" t="s">
        <v>28</v>
      </c>
      <c r="C28" s="23">
        <f>C8/C$6</f>
        <v>0.10946666666666667</v>
      </c>
      <c r="D28" s="23">
        <f t="shared" ref="D28:E28" si="15">D8/D$6</f>
        <v>0.17208196535718329</v>
      </c>
      <c r="E28" s="23">
        <f t="shared" si="15"/>
        <v>0.25600000000000001</v>
      </c>
      <c r="F28" s="24">
        <f t="shared" ref="F28" si="16">F8/F$6</f>
        <v>0.18312548037587087</v>
      </c>
    </row>
    <row r="29" spans="2:7" x14ac:dyDescent="0.45">
      <c r="B29" s="22" t="s">
        <v>29</v>
      </c>
      <c r="C29" s="23">
        <f t="shared" ref="C29:E29" si="17">C9/C$6</f>
        <v>0.26306666666666667</v>
      </c>
      <c r="D29" s="23">
        <f t="shared" si="17"/>
        <v>0.27182157817276126</v>
      </c>
      <c r="E29" s="23">
        <f t="shared" si="17"/>
        <v>0.13781818181818181</v>
      </c>
      <c r="F29" s="24">
        <f t="shared" ref="F29" si="18">F9/F$6</f>
        <v>0.21374556814519127</v>
      </c>
    </row>
    <row r="30" spans="2:7" x14ac:dyDescent="0.45">
      <c r="B30" s="22" t="s">
        <v>30</v>
      </c>
      <c r="C30" s="23">
        <f t="shared" ref="C30:E30" si="19">C10/C$6</f>
        <v>0.48667333333333335</v>
      </c>
      <c r="D30" s="23">
        <f t="shared" si="19"/>
        <v>0.50286991961960836</v>
      </c>
      <c r="E30" s="23">
        <f t="shared" si="19"/>
        <v>0.25496363636363639</v>
      </c>
      <c r="F30" s="24">
        <f t="shared" ref="F30" si="20">F10/F$6</f>
        <v>0.39542930106860391</v>
      </c>
    </row>
    <row r="31" spans="2:7" x14ac:dyDescent="0.45">
      <c r="B31" s="25" t="s">
        <v>32</v>
      </c>
      <c r="C31" s="26">
        <f>C22/C18</f>
        <v>0.63696985815602836</v>
      </c>
      <c r="D31" s="26">
        <f t="shared" ref="D31:E31" si="21">D22/D18</f>
        <v>0.12204511129685344</v>
      </c>
      <c r="E31" s="26">
        <f t="shared" si="21"/>
        <v>0.26634145712443585</v>
      </c>
      <c r="F31" s="27">
        <f t="shared" ref="F31" si="22">F22/F18</f>
        <v>0.3725784440279355</v>
      </c>
    </row>
    <row r="33" spans="2:15" x14ac:dyDescent="0.45">
      <c r="B33" s="34" t="s">
        <v>45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5" spans="2:15" ht="19.8" x14ac:dyDescent="0.5">
      <c r="B35" s="9"/>
      <c r="C35" s="28" t="s">
        <v>17</v>
      </c>
      <c r="D35" s="28" t="s">
        <v>18</v>
      </c>
      <c r="E35" s="28" t="s">
        <v>19</v>
      </c>
      <c r="F35" s="28" t="s">
        <v>20</v>
      </c>
    </row>
    <row r="37" spans="2:15" x14ac:dyDescent="0.45">
      <c r="B37" t="s">
        <v>31</v>
      </c>
      <c r="C37" s="16">
        <f>C10</f>
        <v>7300.1</v>
      </c>
      <c r="D37" s="16">
        <f t="shared" ref="D37:F37" si="23">D10</f>
        <v>4441.8500000000004</v>
      </c>
      <c r="E37" s="16">
        <f t="shared" si="23"/>
        <v>4206.9000000000005</v>
      </c>
      <c r="F37" s="16">
        <f t="shared" si="23"/>
        <v>15948.850000000002</v>
      </c>
    </row>
    <row r="38" spans="2:15" x14ac:dyDescent="0.45">
      <c r="B38" t="s">
        <v>46</v>
      </c>
      <c r="C38" s="16"/>
      <c r="D38" s="16"/>
      <c r="E38" s="16"/>
      <c r="F38" s="14">
        <f>'Slide 7'!$F$17</f>
        <v>41.612721631205673</v>
      </c>
    </row>
    <row r="39" spans="2:15" x14ac:dyDescent="0.45">
      <c r="B39" s="46" t="s">
        <v>47</v>
      </c>
      <c r="C39" s="47"/>
      <c r="D39" s="47"/>
      <c r="E39" s="47"/>
      <c r="F39" s="48">
        <f>F37/F38</f>
        <v>383.26861053086822</v>
      </c>
    </row>
    <row r="40" spans="2:15" x14ac:dyDescent="0.45">
      <c r="C40" s="16"/>
      <c r="D40" s="16"/>
      <c r="E40" s="16"/>
      <c r="F40" s="16"/>
    </row>
    <row r="41" spans="2:15" x14ac:dyDescent="0.45">
      <c r="B41" t="s">
        <v>26</v>
      </c>
      <c r="C41" s="16">
        <f>C22</f>
        <v>9554.5478723404249</v>
      </c>
      <c r="D41" s="16">
        <f t="shared" ref="D41:F41" si="24">D22</f>
        <v>1078.0244680851065</v>
      </c>
      <c r="E41" s="16">
        <f t="shared" si="24"/>
        <v>4394.6340425531916</v>
      </c>
      <c r="F41" s="16">
        <f t="shared" si="24"/>
        <v>15027.206382978722</v>
      </c>
    </row>
    <row r="42" spans="2:15" x14ac:dyDescent="0.45">
      <c r="B42" t="s">
        <v>48</v>
      </c>
      <c r="C42" s="16"/>
      <c r="D42" s="16"/>
      <c r="E42" s="16"/>
      <c r="F42" s="14">
        <f>F41/F43</f>
        <v>41.397262763026781</v>
      </c>
    </row>
    <row r="43" spans="2:15" x14ac:dyDescent="0.45">
      <c r="B43" s="46" t="s">
        <v>47</v>
      </c>
      <c r="C43" s="47"/>
      <c r="D43" s="47"/>
      <c r="E43" s="47"/>
      <c r="F43" s="48">
        <f>'Slide 7'!F35</f>
        <v>363</v>
      </c>
    </row>
    <row r="44" spans="2:15" x14ac:dyDescent="0.45">
      <c r="C44" s="16"/>
      <c r="D44" s="16"/>
      <c r="E44" s="16"/>
      <c r="F44" s="16"/>
    </row>
    <row r="45" spans="2:15" x14ac:dyDescent="0.45">
      <c r="B45" s="10" t="s">
        <v>49</v>
      </c>
      <c r="C45" s="17"/>
      <c r="D45" s="17"/>
      <c r="E45" s="17"/>
      <c r="F45" s="49">
        <f>F39-F43</f>
        <v>20.268610530868216</v>
      </c>
    </row>
    <row r="46" spans="2:15" x14ac:dyDescent="0.45">
      <c r="B46" s="10" t="s">
        <v>50</v>
      </c>
      <c r="C46" s="17"/>
      <c r="D46" s="17"/>
      <c r="E46" s="17"/>
      <c r="F46" s="50">
        <f>F45/F39</f>
        <v>5.2883565139326211E-2</v>
      </c>
    </row>
    <row r="47" spans="2:15" x14ac:dyDescent="0.45">
      <c r="C47" s="16"/>
      <c r="D47" s="16"/>
      <c r="E47" s="16"/>
      <c r="F47" s="16"/>
    </row>
    <row r="48" spans="2:15" x14ac:dyDescent="0.45">
      <c r="B48" s="10" t="s">
        <v>51</v>
      </c>
      <c r="C48" s="17"/>
      <c r="D48" s="17"/>
      <c r="E48" s="17"/>
      <c r="F48" s="17">
        <f>F37-F41</f>
        <v>921.64361702128008</v>
      </c>
    </row>
    <row r="49" spans="2:6" x14ac:dyDescent="0.45">
      <c r="B49" s="51" t="s">
        <v>50</v>
      </c>
      <c r="C49" s="52"/>
      <c r="D49" s="52"/>
      <c r="E49" s="52"/>
      <c r="F49" s="53">
        <f>F48/F37</f>
        <v>5.7787465367175689E-2</v>
      </c>
    </row>
    <row r="50" spans="2:6" x14ac:dyDescent="0.45">
      <c r="C50" s="16"/>
      <c r="D50" s="16"/>
      <c r="E50" s="16"/>
      <c r="F50" s="16"/>
    </row>
    <row r="51" spans="2:6" x14ac:dyDescent="0.45">
      <c r="C51" s="16"/>
      <c r="D51" s="16"/>
      <c r="E51" s="16"/>
      <c r="F51" s="16"/>
    </row>
    <row r="52" spans="2:6" x14ac:dyDescent="0.45">
      <c r="C52" s="16"/>
      <c r="D52" s="16"/>
      <c r="E52" s="16"/>
      <c r="F52" s="16"/>
    </row>
    <row r="53" spans="2:6" x14ac:dyDescent="0.45">
      <c r="C53" s="16"/>
      <c r="D53" s="16"/>
      <c r="E53" s="16"/>
      <c r="F53" s="16"/>
    </row>
    <row r="54" spans="2:6" x14ac:dyDescent="0.45">
      <c r="C54" s="16"/>
      <c r="D54" s="16"/>
      <c r="E54" s="16"/>
      <c r="F54" s="16"/>
    </row>
    <row r="55" spans="2:6" x14ac:dyDescent="0.45">
      <c r="C55" s="16"/>
      <c r="D55" s="16"/>
      <c r="E55" s="16"/>
      <c r="F55" s="16"/>
    </row>
    <row r="56" spans="2:6" x14ac:dyDescent="0.45">
      <c r="C56" s="16"/>
      <c r="D56" s="16"/>
      <c r="E56" s="16"/>
      <c r="F56" s="16"/>
    </row>
    <row r="57" spans="2:6" x14ac:dyDescent="0.45">
      <c r="C57" s="16"/>
      <c r="D57" s="16"/>
      <c r="E57" s="16"/>
      <c r="F57" s="16"/>
    </row>
    <row r="58" spans="2:6" x14ac:dyDescent="0.45">
      <c r="C58" s="16"/>
      <c r="D58" s="16"/>
      <c r="E58" s="16"/>
      <c r="F58" s="16"/>
    </row>
    <row r="59" spans="2:6" x14ac:dyDescent="0.45">
      <c r="C59" s="16"/>
      <c r="D59" s="16"/>
      <c r="E59" s="16"/>
      <c r="F59" s="16"/>
    </row>
    <row r="60" spans="2:6" x14ac:dyDescent="0.45">
      <c r="C60" s="16"/>
      <c r="D60" s="16"/>
      <c r="E60" s="16"/>
      <c r="F60" s="16"/>
    </row>
    <row r="61" spans="2:6" x14ac:dyDescent="0.45">
      <c r="C61" s="16"/>
      <c r="D61" s="16"/>
      <c r="E61" s="16"/>
      <c r="F61" s="16"/>
    </row>
    <row r="62" spans="2:6" x14ac:dyDescent="0.45">
      <c r="C62" s="16"/>
      <c r="D62" s="16"/>
      <c r="E62" s="16"/>
      <c r="F62" s="16"/>
    </row>
    <row r="63" spans="2:6" x14ac:dyDescent="0.45">
      <c r="C63" s="16"/>
      <c r="D63" s="16"/>
      <c r="E63" s="16"/>
      <c r="F63" s="16"/>
    </row>
    <row r="64" spans="2:6" x14ac:dyDescent="0.45">
      <c r="C64" s="16"/>
      <c r="D64" s="16"/>
      <c r="E64" s="16"/>
      <c r="F64" s="16"/>
    </row>
    <row r="65" spans="3:6" x14ac:dyDescent="0.45">
      <c r="C65" s="16"/>
      <c r="D65" s="16"/>
      <c r="E65" s="16"/>
      <c r="F65" s="16"/>
    </row>
    <row r="66" spans="3:6" x14ac:dyDescent="0.45">
      <c r="C66" s="16"/>
      <c r="D66" s="16"/>
      <c r="E66" s="16"/>
      <c r="F66" s="16"/>
    </row>
    <row r="67" spans="3:6" x14ac:dyDescent="0.45">
      <c r="C67" s="16"/>
      <c r="D67" s="16"/>
      <c r="E67" s="16"/>
      <c r="F67" s="16"/>
    </row>
    <row r="68" spans="3:6" x14ac:dyDescent="0.45">
      <c r="C68" s="16"/>
      <c r="D68" s="16"/>
      <c r="E68" s="16"/>
      <c r="F68" s="16"/>
    </row>
    <row r="69" spans="3:6" x14ac:dyDescent="0.45">
      <c r="C69" s="16"/>
      <c r="D69" s="16"/>
      <c r="E69" s="16"/>
      <c r="F69" s="16"/>
    </row>
    <row r="70" spans="3:6" x14ac:dyDescent="0.45">
      <c r="C70" s="16"/>
      <c r="D70" s="16"/>
      <c r="E70" s="16"/>
      <c r="F70" s="16"/>
    </row>
    <row r="71" spans="3:6" x14ac:dyDescent="0.45">
      <c r="C71" s="16"/>
      <c r="D71" s="16"/>
      <c r="E71" s="16"/>
      <c r="F71" s="16"/>
    </row>
    <row r="72" spans="3:6" x14ac:dyDescent="0.45">
      <c r="C72" s="16"/>
      <c r="D72" s="16"/>
      <c r="E72" s="16"/>
      <c r="F72" s="16"/>
    </row>
    <row r="73" spans="3:6" x14ac:dyDescent="0.45">
      <c r="C73" s="16"/>
      <c r="D73" s="16"/>
      <c r="E73" s="16"/>
      <c r="F73" s="16"/>
    </row>
    <row r="74" spans="3:6" x14ac:dyDescent="0.45">
      <c r="C74" s="16"/>
      <c r="D74" s="16"/>
      <c r="E74" s="16"/>
      <c r="F74" s="16"/>
    </row>
    <row r="75" spans="3:6" x14ac:dyDescent="0.45">
      <c r="C75" s="16"/>
      <c r="D75" s="16"/>
      <c r="E75" s="16"/>
      <c r="F75" s="16"/>
    </row>
    <row r="76" spans="3:6" x14ac:dyDescent="0.45">
      <c r="C76" s="16"/>
      <c r="D76" s="16"/>
      <c r="E76" s="16"/>
      <c r="F76" s="16"/>
    </row>
    <row r="77" spans="3:6" x14ac:dyDescent="0.45">
      <c r="C77" s="16"/>
      <c r="D77" s="16"/>
      <c r="E77" s="16"/>
      <c r="F77" s="16"/>
    </row>
    <row r="78" spans="3:6" x14ac:dyDescent="0.45">
      <c r="C78" s="16"/>
      <c r="D78" s="16"/>
      <c r="E78" s="16"/>
      <c r="F78" s="16"/>
    </row>
    <row r="79" spans="3:6" x14ac:dyDescent="0.45">
      <c r="C79" s="16"/>
      <c r="D79" s="16"/>
      <c r="E79" s="16"/>
      <c r="F79" s="16"/>
    </row>
    <row r="80" spans="3:6" x14ac:dyDescent="0.45">
      <c r="C80" s="16"/>
      <c r="D80" s="16"/>
      <c r="E80" s="16"/>
      <c r="F80" s="16"/>
    </row>
    <row r="81" spans="3:6" x14ac:dyDescent="0.45">
      <c r="C81" s="16"/>
      <c r="D81" s="16"/>
      <c r="E81" s="16"/>
      <c r="F81" s="16"/>
    </row>
  </sheetData>
  <phoneticPr fontId="2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F59F-5526-4CEB-9272-F21516C96DEF}">
  <dimension ref="B1:S53"/>
  <sheetViews>
    <sheetView showGridLines="0" topLeftCell="G14" zoomScaleNormal="100" workbookViewId="0">
      <selection activeCell="R20" sqref="R20:S32"/>
    </sheetView>
  </sheetViews>
  <sheetFormatPr defaultRowHeight="18" x14ac:dyDescent="0.45"/>
  <cols>
    <col min="2" max="2" width="19.796875" customWidth="1"/>
    <col min="3" max="3" width="12.5" customWidth="1"/>
    <col min="4" max="4" width="14.296875" customWidth="1"/>
    <col min="5" max="5" width="12.5" customWidth="1"/>
    <col min="6" max="6" width="14" customWidth="1"/>
    <col min="7" max="7" width="10.19921875" customWidth="1"/>
    <col min="8" max="8" width="10.5" bestFit="1" customWidth="1"/>
    <col min="9" max="9" width="12.296875" customWidth="1"/>
    <col min="10" max="10" width="21.19921875" bestFit="1" customWidth="1"/>
    <col min="11" max="11" width="10.5" bestFit="1" customWidth="1"/>
    <col min="12" max="12" width="11.5" bestFit="1" customWidth="1"/>
    <col min="18" max="18" width="34" style="101" customWidth="1"/>
    <col min="19" max="19" width="18.69921875" customWidth="1"/>
  </cols>
  <sheetData>
    <row r="1" spans="2:12" ht="32.4" x14ac:dyDescent="0.45">
      <c r="B1" s="45" t="s">
        <v>44</v>
      </c>
    </row>
    <row r="2" spans="2:12" ht="15" customHeight="1" x14ac:dyDescent="0.45">
      <c r="I2" s="112" t="s">
        <v>0</v>
      </c>
      <c r="J2" s="112"/>
      <c r="K2" s="112"/>
      <c r="L2" s="112"/>
    </row>
    <row r="3" spans="2:12" x14ac:dyDescent="0.45">
      <c r="I3" s="112"/>
      <c r="J3" s="112"/>
      <c r="K3" s="112"/>
      <c r="L3" s="112"/>
    </row>
    <row r="4" spans="2:12" ht="19.8" x14ac:dyDescent="0.5">
      <c r="B4" s="113" t="s">
        <v>1</v>
      </c>
      <c r="C4" s="113"/>
      <c r="D4" s="113"/>
      <c r="E4" s="113"/>
      <c r="F4" s="113"/>
      <c r="G4" s="113"/>
      <c r="I4" s="112"/>
      <c r="J4" s="112"/>
      <c r="K4" s="112"/>
      <c r="L4" s="112"/>
    </row>
    <row r="5" spans="2:12" ht="15" customHeight="1" x14ac:dyDescent="0.45">
      <c r="B5" s="114" t="s">
        <v>2</v>
      </c>
      <c r="C5" s="115" t="s">
        <v>3</v>
      </c>
      <c r="D5" s="116" t="s">
        <v>4</v>
      </c>
      <c r="E5" s="116" t="s">
        <v>5</v>
      </c>
      <c r="F5" s="116" t="s">
        <v>6</v>
      </c>
      <c r="G5" s="115"/>
      <c r="H5" s="115"/>
      <c r="I5" t="s">
        <v>35</v>
      </c>
      <c r="K5" s="8">
        <v>1880</v>
      </c>
    </row>
    <row r="6" spans="2:12" ht="52.5" customHeight="1" x14ac:dyDescent="0.45">
      <c r="B6" s="114"/>
      <c r="C6" s="115"/>
      <c r="D6" s="116"/>
      <c r="E6" s="116"/>
      <c r="F6" s="116"/>
      <c r="G6" s="115"/>
      <c r="H6" s="115"/>
      <c r="I6" t="s">
        <v>7</v>
      </c>
    </row>
    <row r="7" spans="2:12" x14ac:dyDescent="0.45">
      <c r="E7" s="2"/>
      <c r="F7" s="2"/>
      <c r="G7" s="2"/>
      <c r="H7" s="2"/>
      <c r="I7" t="s">
        <v>8</v>
      </c>
    </row>
    <row r="8" spans="2:12" x14ac:dyDescent="0.45">
      <c r="B8" t="s">
        <v>9</v>
      </c>
      <c r="C8" s="3">
        <v>2</v>
      </c>
      <c r="D8" s="16">
        <f>66716*C8</f>
        <v>133432</v>
      </c>
      <c r="E8" s="16">
        <f>$K$5*C8</f>
        <v>3760</v>
      </c>
      <c r="F8" s="14">
        <f>D8/E8</f>
        <v>35.48723404255319</v>
      </c>
      <c r="G8" t="s">
        <v>10</v>
      </c>
      <c r="I8" t="s">
        <v>11</v>
      </c>
    </row>
    <row r="9" spans="2:12" x14ac:dyDescent="0.45">
      <c r="C9" s="4"/>
      <c r="D9" s="16"/>
      <c r="E9" s="16"/>
      <c r="F9" s="14"/>
    </row>
    <row r="10" spans="2:12" x14ac:dyDescent="0.45">
      <c r="B10" t="s">
        <v>12</v>
      </c>
      <c r="C10" s="3">
        <v>1</v>
      </c>
      <c r="D10" s="16">
        <f>48568*C10</f>
        <v>48568</v>
      </c>
      <c r="E10" s="16">
        <f>$K$5*C10</f>
        <v>1880</v>
      </c>
      <c r="F10" s="14">
        <f>D10/E10</f>
        <v>25.834042553191491</v>
      </c>
      <c r="G10" t="s">
        <v>10</v>
      </c>
    </row>
    <row r="11" spans="2:12" x14ac:dyDescent="0.45">
      <c r="C11" s="3"/>
      <c r="D11" s="16"/>
      <c r="E11" s="16"/>
      <c r="F11" s="14"/>
    </row>
    <row r="12" spans="2:12" x14ac:dyDescent="0.45">
      <c r="B12" t="s">
        <v>13</v>
      </c>
      <c r="C12" s="3">
        <v>3</v>
      </c>
      <c r="D12" s="16">
        <f>74464*C12</f>
        <v>223392</v>
      </c>
      <c r="E12" s="16">
        <f>$K$5*C12</f>
        <v>5640</v>
      </c>
      <c r="F12" s="14">
        <f>D12/E12</f>
        <v>39.608510638297872</v>
      </c>
      <c r="G12" t="s">
        <v>10</v>
      </c>
    </row>
    <row r="13" spans="2:12" x14ac:dyDescent="0.45">
      <c r="C13" s="3"/>
      <c r="D13" s="16"/>
      <c r="E13" s="16"/>
      <c r="F13" s="14"/>
    </row>
    <row r="14" spans="2:12" x14ac:dyDescent="0.45">
      <c r="B14" t="s">
        <v>14</v>
      </c>
      <c r="C14" s="3">
        <v>3</v>
      </c>
      <c r="D14" s="16">
        <f>93886*C14</f>
        <v>281658</v>
      </c>
      <c r="E14" s="16">
        <f>$K$5*C14</f>
        <v>5640</v>
      </c>
      <c r="F14" s="14">
        <f>D14/E14</f>
        <v>49.939361702127663</v>
      </c>
      <c r="G14" t="s">
        <v>10</v>
      </c>
    </row>
    <row r="15" spans="2:12" x14ac:dyDescent="0.45">
      <c r="C15" s="3"/>
      <c r="D15" s="16"/>
      <c r="E15" s="16"/>
      <c r="F15" s="14"/>
    </row>
    <row r="16" spans="2:12" x14ac:dyDescent="0.45">
      <c r="B16" t="s">
        <v>15</v>
      </c>
      <c r="C16" s="3">
        <v>3</v>
      </c>
      <c r="D16" s="16">
        <f>83911*C16</f>
        <v>251733</v>
      </c>
      <c r="E16" s="16">
        <f>$K$5*C16</f>
        <v>5640</v>
      </c>
      <c r="F16" s="14">
        <f>D16/E16</f>
        <v>44.633510638297871</v>
      </c>
      <c r="G16" t="s">
        <v>10</v>
      </c>
    </row>
    <row r="17" spans="2:19" x14ac:dyDescent="0.45">
      <c r="B17" s="29" t="s">
        <v>16</v>
      </c>
      <c r="C17" s="30"/>
      <c r="D17" s="31">
        <f>SUM(D8:D16)</f>
        <v>938783</v>
      </c>
      <c r="E17" s="31">
        <f>SUM(E8:E16)</f>
        <v>22560</v>
      </c>
      <c r="F17" s="32">
        <f>D17/E17</f>
        <v>41.612721631205673</v>
      </c>
      <c r="G17" s="29" t="s">
        <v>10</v>
      </c>
    </row>
    <row r="19" spans="2:19" x14ac:dyDescent="0.45">
      <c r="B19" s="34" t="s">
        <v>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2:19" ht="28.95" customHeight="1" x14ac:dyDescent="0.45">
      <c r="R20" s="110" t="s">
        <v>107</v>
      </c>
      <c r="S20" s="111"/>
    </row>
    <row r="21" spans="2:19" ht="36.6" x14ac:dyDescent="0.5">
      <c r="B21" s="9"/>
      <c r="C21" s="28" t="s">
        <v>17</v>
      </c>
      <c r="D21" s="28" t="s">
        <v>18</v>
      </c>
      <c r="E21" s="28" t="s">
        <v>19</v>
      </c>
      <c r="F21" s="28" t="s">
        <v>20</v>
      </c>
      <c r="R21" s="102" t="s">
        <v>105</v>
      </c>
      <c r="S21" s="106">
        <v>39.6</v>
      </c>
    </row>
    <row r="22" spans="2:19" x14ac:dyDescent="0.45">
      <c r="R22" s="102" t="s">
        <v>104</v>
      </c>
      <c r="S22" s="107">
        <v>3</v>
      </c>
    </row>
    <row r="23" spans="2:19" x14ac:dyDescent="0.45">
      <c r="B23" s="1" t="s">
        <v>21</v>
      </c>
      <c r="C23" s="15">
        <v>15000</v>
      </c>
      <c r="D23" s="15">
        <v>8833</v>
      </c>
      <c r="E23" s="15">
        <v>16500</v>
      </c>
      <c r="F23" s="15">
        <f>SUM(C23:E23)</f>
        <v>40333</v>
      </c>
      <c r="R23" s="102"/>
      <c r="S23" s="108"/>
    </row>
    <row r="24" spans="2:19" x14ac:dyDescent="0.45">
      <c r="C24" s="16"/>
      <c r="D24" s="16"/>
      <c r="E24" s="16"/>
      <c r="F24" s="16"/>
      <c r="R24" s="102"/>
      <c r="S24" s="62"/>
    </row>
    <row r="25" spans="2:19" x14ac:dyDescent="0.45">
      <c r="B25" t="s">
        <v>22</v>
      </c>
      <c r="C25" s="16">
        <v>1642</v>
      </c>
      <c r="D25" s="16">
        <v>1520</v>
      </c>
      <c r="E25" s="16">
        <v>4224</v>
      </c>
      <c r="F25" s="15">
        <f t="shared" ref="F25:F26" si="0">SUM(C25:E25)</f>
        <v>7386</v>
      </c>
      <c r="R25" s="102" t="s">
        <v>102</v>
      </c>
      <c r="S25" s="109">
        <v>100</v>
      </c>
    </row>
    <row r="26" spans="2:19" ht="36" x14ac:dyDescent="0.45">
      <c r="B26" t="s">
        <v>23</v>
      </c>
      <c r="C26" s="16">
        <v>3946</v>
      </c>
      <c r="D26" s="16">
        <v>2401</v>
      </c>
      <c r="E26" s="16">
        <v>2274</v>
      </c>
      <c r="F26" s="15">
        <f t="shared" si="0"/>
        <v>8621</v>
      </c>
      <c r="R26" s="102" t="s">
        <v>111</v>
      </c>
      <c r="S26" s="62">
        <f>8*5*4</f>
        <v>160</v>
      </c>
    </row>
    <row r="27" spans="2:19" ht="18.600000000000001" thickBot="1" x14ac:dyDescent="0.5">
      <c r="B27" s="1" t="s">
        <v>37</v>
      </c>
      <c r="C27" s="18">
        <f>SUM(C25:C26)</f>
        <v>5588</v>
      </c>
      <c r="D27" s="18">
        <f t="shared" ref="D27:F27" si="1">SUM(D25:D26)</f>
        <v>3921</v>
      </c>
      <c r="E27" s="18">
        <f t="shared" si="1"/>
        <v>6498</v>
      </c>
      <c r="F27" s="18">
        <f t="shared" si="1"/>
        <v>16007</v>
      </c>
      <c r="R27" s="102" t="s">
        <v>103</v>
      </c>
      <c r="S27" s="62">
        <v>60</v>
      </c>
    </row>
    <row r="28" spans="2:19" x14ac:dyDescent="0.45">
      <c r="R28" s="103" t="s">
        <v>106</v>
      </c>
      <c r="S28" s="105">
        <f>S21*S27</f>
        <v>2376</v>
      </c>
    </row>
    <row r="29" spans="2:19" x14ac:dyDescent="0.45">
      <c r="B29" s="93" t="s">
        <v>39</v>
      </c>
      <c r="C29" s="94"/>
      <c r="D29" s="94"/>
      <c r="E29" s="94"/>
      <c r="F29" s="94"/>
      <c r="R29" s="102"/>
      <c r="S29" s="62"/>
    </row>
    <row r="30" spans="2:19" ht="36" x14ac:dyDescent="0.45">
      <c r="B30" s="95" t="s">
        <v>9</v>
      </c>
      <c r="C30" s="96">
        <v>45</v>
      </c>
      <c r="D30" s="96">
        <v>3</v>
      </c>
      <c r="E30" s="96">
        <v>25</v>
      </c>
      <c r="F30" s="97">
        <f>SUM(C30:E30)</f>
        <v>73</v>
      </c>
      <c r="R30" s="102" t="s">
        <v>108</v>
      </c>
      <c r="S30" s="62">
        <v>25</v>
      </c>
    </row>
    <row r="31" spans="2:19" ht="36" x14ac:dyDescent="0.45">
      <c r="B31" s="95" t="s">
        <v>12</v>
      </c>
      <c r="C31" s="96">
        <v>10</v>
      </c>
      <c r="D31" s="96">
        <v>1</v>
      </c>
      <c r="E31" s="96">
        <v>9</v>
      </c>
      <c r="F31" s="97">
        <f t="shared" ref="F31:F34" si="2">SUM(C31:E31)</f>
        <v>20</v>
      </c>
      <c r="R31" s="102" t="s">
        <v>109</v>
      </c>
      <c r="S31" s="62">
        <f>S26-S30</f>
        <v>135</v>
      </c>
    </row>
    <row r="32" spans="2:19" x14ac:dyDescent="0.45">
      <c r="B32" s="95" t="s">
        <v>13</v>
      </c>
      <c r="C32" s="96">
        <v>75</v>
      </c>
      <c r="D32" s="96">
        <v>0</v>
      </c>
      <c r="E32" s="96">
        <v>25</v>
      </c>
      <c r="F32" s="97">
        <f t="shared" si="2"/>
        <v>100</v>
      </c>
      <c r="R32" s="103" t="s">
        <v>110</v>
      </c>
      <c r="S32" s="104">
        <f>S31*S21</f>
        <v>5346</v>
      </c>
    </row>
    <row r="33" spans="2:19" x14ac:dyDescent="0.45">
      <c r="B33" s="95" t="s">
        <v>14</v>
      </c>
      <c r="C33" s="96">
        <v>50</v>
      </c>
      <c r="D33" s="96">
        <v>10</v>
      </c>
      <c r="E33" s="96">
        <v>10</v>
      </c>
      <c r="F33" s="97">
        <f t="shared" si="2"/>
        <v>70</v>
      </c>
    </row>
    <row r="34" spans="2:19" x14ac:dyDescent="0.45">
      <c r="B34" s="95" t="s">
        <v>15</v>
      </c>
      <c r="C34" s="96">
        <v>50</v>
      </c>
      <c r="D34" s="96">
        <v>10</v>
      </c>
      <c r="E34" s="96">
        <v>40</v>
      </c>
      <c r="F34" s="97">
        <f t="shared" si="2"/>
        <v>100</v>
      </c>
      <c r="S34" s="100"/>
    </row>
    <row r="35" spans="2:19" x14ac:dyDescent="0.45">
      <c r="B35" s="98" t="s">
        <v>42</v>
      </c>
      <c r="C35" s="99">
        <f>SUM(C30:C34)</f>
        <v>230</v>
      </c>
      <c r="D35" s="99">
        <f t="shared" ref="D35:F35" si="3">SUM(D30:D34)</f>
        <v>24</v>
      </c>
      <c r="E35" s="99">
        <f t="shared" si="3"/>
        <v>109</v>
      </c>
      <c r="F35" s="99">
        <f t="shared" si="3"/>
        <v>363</v>
      </c>
    </row>
    <row r="36" spans="2:19" x14ac:dyDescent="0.45">
      <c r="B36" s="36"/>
      <c r="C36" s="37"/>
      <c r="D36" s="37"/>
      <c r="E36" s="37"/>
      <c r="M36" s="7"/>
    </row>
    <row r="37" spans="2:19" x14ac:dyDescent="0.45">
      <c r="B37" s="38" t="s">
        <v>9</v>
      </c>
      <c r="C37" s="16">
        <f>C30*INDEX($F$8:$F$16,MATCH($B37,$B$8:$B$16,0))</f>
        <v>1596.9255319148936</v>
      </c>
      <c r="D37" s="16">
        <f t="shared" ref="C37:E41" si="4">D30*INDEX($F$8:$F$16,MATCH($B37,$B$8:$B$16,0))</f>
        <v>106.46170212765958</v>
      </c>
      <c r="E37" s="16">
        <f t="shared" si="4"/>
        <v>887.18085106382978</v>
      </c>
      <c r="F37" s="15">
        <f t="shared" ref="F37" si="5">SUM(C37:E37)</f>
        <v>2590.568085106383</v>
      </c>
      <c r="M37" s="7"/>
    </row>
    <row r="38" spans="2:19" x14ac:dyDescent="0.45">
      <c r="B38" s="38" t="s">
        <v>12</v>
      </c>
      <c r="C38" s="16">
        <f t="shared" si="4"/>
        <v>258.34042553191489</v>
      </c>
      <c r="D38" s="16">
        <f t="shared" si="4"/>
        <v>25.834042553191491</v>
      </c>
      <c r="E38" s="16">
        <f t="shared" si="4"/>
        <v>232.50638297872342</v>
      </c>
      <c r="F38" s="15">
        <f t="shared" ref="F38" si="6">SUM(C38:E38)</f>
        <v>516.68085106382978</v>
      </c>
    </row>
    <row r="39" spans="2:19" x14ac:dyDescent="0.45">
      <c r="B39" s="38" t="str">
        <f>B12</f>
        <v>List Building</v>
      </c>
      <c r="C39" s="16">
        <f t="shared" si="4"/>
        <v>2970.6382978723404</v>
      </c>
      <c r="D39" s="16">
        <f t="shared" si="4"/>
        <v>0</v>
      </c>
      <c r="E39" s="16">
        <f t="shared" si="4"/>
        <v>990.21276595744678</v>
      </c>
      <c r="F39" s="15">
        <f t="shared" ref="F39" si="7">SUM(C39:E39)</f>
        <v>3960.8510638297871</v>
      </c>
    </row>
    <row r="40" spans="2:19" x14ac:dyDescent="0.45">
      <c r="B40" s="38" t="str">
        <f>B14</f>
        <v>Guest Interaction</v>
      </c>
      <c r="C40" s="16">
        <f t="shared" si="4"/>
        <v>2496.9680851063831</v>
      </c>
      <c r="D40" s="16">
        <f t="shared" si="4"/>
        <v>499.39361702127661</v>
      </c>
      <c r="E40" s="16">
        <f t="shared" si="4"/>
        <v>499.39361702127661</v>
      </c>
      <c r="F40" s="15">
        <f t="shared" ref="F40" si="8">SUM(C40:E40)</f>
        <v>3495.755319148936</v>
      </c>
    </row>
    <row r="41" spans="2:19" x14ac:dyDescent="0.45">
      <c r="B41" s="38" t="str">
        <f>B16</f>
        <v>Account Mgt</v>
      </c>
      <c r="C41" s="16">
        <f t="shared" si="4"/>
        <v>2231.6755319148933</v>
      </c>
      <c r="D41" s="16">
        <f t="shared" si="4"/>
        <v>446.33510638297872</v>
      </c>
      <c r="E41" s="16">
        <f t="shared" si="4"/>
        <v>1785.3404255319149</v>
      </c>
      <c r="F41" s="15">
        <f t="shared" ref="F41" si="9">SUM(C41:E41)</f>
        <v>4463.3510638297867</v>
      </c>
    </row>
    <row r="42" spans="2:19" x14ac:dyDescent="0.45">
      <c r="B42" s="35" t="s">
        <v>38</v>
      </c>
      <c r="C42" s="42">
        <f>SUM(C37:C41)</f>
        <v>9554.5478723404249</v>
      </c>
      <c r="D42" s="42">
        <f t="shared" ref="D42:F42" si="10">SUM(D37:D41)</f>
        <v>1078.0244680851065</v>
      </c>
      <c r="E42" s="42">
        <f t="shared" si="10"/>
        <v>4394.6340425531916</v>
      </c>
      <c r="F42" s="42">
        <f t="shared" si="10"/>
        <v>15027.206382978724</v>
      </c>
    </row>
    <row r="43" spans="2:19" ht="18.600000000000001" thickBot="1" x14ac:dyDescent="0.5">
      <c r="B43" s="35" t="s">
        <v>40</v>
      </c>
      <c r="C43" s="18">
        <f>C27+C42</f>
        <v>15142.547872340425</v>
      </c>
      <c r="D43" s="18">
        <f>D27+D42</f>
        <v>4999.0244680851065</v>
      </c>
      <c r="E43" s="18">
        <f>E27+E42</f>
        <v>10892.634042553193</v>
      </c>
      <c r="F43" s="18">
        <f>F27+F42</f>
        <v>31034.206382978722</v>
      </c>
    </row>
    <row r="44" spans="2:19" x14ac:dyDescent="0.45">
      <c r="B44" s="35"/>
    </row>
    <row r="45" spans="2:19" ht="18.600000000000001" thickBot="1" x14ac:dyDescent="0.5">
      <c r="B45" s="35" t="s">
        <v>41</v>
      </c>
      <c r="C45" s="18">
        <f>C23-C43</f>
        <v>-142.54787234042487</v>
      </c>
      <c r="D45" s="18">
        <f>D23-D43</f>
        <v>3833.9755319148935</v>
      </c>
      <c r="E45" s="18">
        <f>E23-E43</f>
        <v>5607.3659574468074</v>
      </c>
      <c r="F45" s="18">
        <f>F23-F43</f>
        <v>9298.7936170212779</v>
      </c>
    </row>
    <row r="46" spans="2:19" x14ac:dyDescent="0.45">
      <c r="B46" s="43" t="s">
        <v>25</v>
      </c>
      <c r="C46" s="12">
        <f>C45/C23</f>
        <v>-9.5031914893616582E-3</v>
      </c>
      <c r="D46" s="12">
        <f>D45/D23</f>
        <v>0.43405134517320204</v>
      </c>
      <c r="E46" s="12">
        <f>E45/E23</f>
        <v>0.33984036105738225</v>
      </c>
      <c r="F46" s="12">
        <f>F45/F23</f>
        <v>0.23055050745100236</v>
      </c>
    </row>
    <row r="47" spans="2:19" x14ac:dyDescent="0.45">
      <c r="B47" s="35"/>
      <c r="C47" s="5"/>
      <c r="D47" s="5"/>
      <c r="E47" s="5"/>
      <c r="F47" s="5"/>
    </row>
    <row r="48" spans="2:19" x14ac:dyDescent="0.45">
      <c r="B48" s="35"/>
    </row>
    <row r="49" spans="2:2" x14ac:dyDescent="0.45">
      <c r="B49" s="35"/>
    </row>
    <row r="50" spans="2:2" x14ac:dyDescent="0.45">
      <c r="B50" s="35"/>
    </row>
    <row r="51" spans="2:2" x14ac:dyDescent="0.45">
      <c r="B51" s="35"/>
    </row>
    <row r="52" spans="2:2" x14ac:dyDescent="0.45">
      <c r="B52" s="35"/>
    </row>
    <row r="53" spans="2:2" x14ac:dyDescent="0.45">
      <c r="B53" s="35"/>
    </row>
  </sheetData>
  <mergeCells count="10">
    <mergeCell ref="R20:S20"/>
    <mergeCell ref="I2:L4"/>
    <mergeCell ref="B4:G4"/>
    <mergeCell ref="B5:B6"/>
    <mergeCell ref="C5:C6"/>
    <mergeCell ref="D5:D6"/>
    <mergeCell ref="E5:E6"/>
    <mergeCell ref="F5:F6"/>
    <mergeCell ref="G5:G6"/>
    <mergeCell ref="H5:H6"/>
  </mergeCells>
  <phoneticPr fontId="23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5D0D-AEF1-4B45-B34C-60E615DC3945}">
  <dimension ref="B1:F34"/>
  <sheetViews>
    <sheetView showGridLines="0" topLeftCell="A8" workbookViewId="0">
      <selection activeCell="H20" sqref="H20"/>
    </sheetView>
  </sheetViews>
  <sheetFormatPr defaultRowHeight="18" x14ac:dyDescent="0.45"/>
  <cols>
    <col min="2" max="2" width="20.69921875" customWidth="1"/>
  </cols>
  <sheetData>
    <row r="1" spans="2:6" ht="32.4" x14ac:dyDescent="0.45">
      <c r="B1" s="45" t="s">
        <v>52</v>
      </c>
    </row>
    <row r="3" spans="2:6" ht="19.8" x14ac:dyDescent="0.5">
      <c r="B3" s="9"/>
      <c r="C3" s="28" t="s">
        <v>17</v>
      </c>
      <c r="D3" s="28" t="s">
        <v>18</v>
      </c>
      <c r="E3" s="28" t="s">
        <v>19</v>
      </c>
      <c r="F3" s="28" t="s">
        <v>20</v>
      </c>
    </row>
    <row r="5" spans="2:6" x14ac:dyDescent="0.45">
      <c r="B5" s="1" t="s">
        <v>21</v>
      </c>
      <c r="C5" s="15">
        <f>'Slide 7'!C23</f>
        <v>15000</v>
      </c>
      <c r="D5" s="15">
        <f>'Slide 7'!D23</f>
        <v>8833</v>
      </c>
      <c r="E5" s="15">
        <f>'Slide 7'!E23</f>
        <v>16500</v>
      </c>
      <c r="F5" s="15">
        <f>'Slide 7'!F23</f>
        <v>40333</v>
      </c>
    </row>
    <row r="7" spans="2:6" x14ac:dyDescent="0.45">
      <c r="B7" t="s">
        <v>37</v>
      </c>
      <c r="C7" s="16">
        <f>'Slide 7'!C27</f>
        <v>5588</v>
      </c>
      <c r="D7" s="16">
        <f>'Slide 7'!D27</f>
        <v>3921</v>
      </c>
      <c r="E7" s="16">
        <f>'Slide 7'!E27</f>
        <v>6498</v>
      </c>
      <c r="F7" s="16">
        <f>'Slide 7'!F27</f>
        <v>16007</v>
      </c>
    </row>
    <row r="8" spans="2:6" x14ac:dyDescent="0.45">
      <c r="B8" s="38" t="s">
        <v>38</v>
      </c>
      <c r="C8" s="16">
        <f>'Slide 7'!C42</f>
        <v>9554.5478723404249</v>
      </c>
      <c r="D8" s="16">
        <f>'Slide 7'!D42</f>
        <v>1078.0244680851065</v>
      </c>
      <c r="E8" s="16">
        <f>'Slide 7'!E42</f>
        <v>4394.6340425531916</v>
      </c>
      <c r="F8" s="16">
        <f>'Slide 7'!F42</f>
        <v>15027.206382978724</v>
      </c>
    </row>
    <row r="9" spans="2:6" x14ac:dyDescent="0.45">
      <c r="B9" s="35" t="s">
        <v>40</v>
      </c>
      <c r="C9" s="15">
        <f>'Slide 7'!C43</f>
        <v>15142.547872340425</v>
      </c>
      <c r="D9" s="15">
        <f>'Slide 7'!D43</f>
        <v>4999.0244680851065</v>
      </c>
      <c r="E9" s="15">
        <f>'Slide 7'!E43</f>
        <v>10892.634042553193</v>
      </c>
      <c r="F9" s="15">
        <f>'Slide 7'!F43</f>
        <v>31034.206382978722</v>
      </c>
    </row>
    <row r="10" spans="2:6" x14ac:dyDescent="0.45">
      <c r="C10" s="16"/>
      <c r="D10" s="16"/>
      <c r="E10" s="16"/>
      <c r="F10" s="16"/>
    </row>
    <row r="11" spans="2:6" ht="18.600000000000001" thickBot="1" x14ac:dyDescent="0.5">
      <c r="B11" s="1" t="s">
        <v>24</v>
      </c>
      <c r="C11" s="18">
        <f>'Slide 7'!C45</f>
        <v>-142.54787234042487</v>
      </c>
      <c r="D11" s="18">
        <f>'Slide 7'!D45</f>
        <v>3833.9755319148935</v>
      </c>
      <c r="E11" s="18">
        <f>'Slide 7'!E45</f>
        <v>5607.3659574468074</v>
      </c>
      <c r="F11" s="18">
        <f>'Slide 7'!F45</f>
        <v>9298.7936170212779</v>
      </c>
    </row>
    <row r="12" spans="2:6" x14ac:dyDescent="0.45">
      <c r="B12" s="11" t="s">
        <v>25</v>
      </c>
      <c r="C12" s="12">
        <f>C11/C5</f>
        <v>-9.5031914893616582E-3</v>
      </c>
      <c r="D12" s="12">
        <f t="shared" ref="D12:F12" si="0">D11/D5</f>
        <v>0.43405134517320204</v>
      </c>
      <c r="E12" s="12">
        <f t="shared" si="0"/>
        <v>0.33984036105738225</v>
      </c>
      <c r="F12" s="12">
        <f t="shared" si="0"/>
        <v>0.23055050745100236</v>
      </c>
    </row>
    <row r="13" spans="2:6" x14ac:dyDescent="0.45">
      <c r="B13" s="11"/>
      <c r="C13" s="12"/>
      <c r="D13" s="12"/>
      <c r="E13" s="12"/>
      <c r="F13" s="12"/>
    </row>
    <row r="14" spans="2:6" x14ac:dyDescent="0.45">
      <c r="B14" s="39" t="s">
        <v>42</v>
      </c>
      <c r="C14" s="41">
        <f>'Slide 7'!C35</f>
        <v>230</v>
      </c>
      <c r="D14" s="41">
        <f>'Slide 7'!D35</f>
        <v>24</v>
      </c>
      <c r="E14" s="41">
        <f>'Slide 7'!E35</f>
        <v>109</v>
      </c>
      <c r="F14" s="41">
        <f>'Slide 7'!F35</f>
        <v>363</v>
      </c>
    </row>
    <row r="16" spans="2:6" x14ac:dyDescent="0.45">
      <c r="B16" s="54" t="s">
        <v>53</v>
      </c>
      <c r="C16" s="55">
        <f>C5/C14</f>
        <v>65.217391304347828</v>
      </c>
      <c r="D16" s="55">
        <f>D5/D14</f>
        <v>368.04166666666669</v>
      </c>
      <c r="E16" s="55">
        <f>E5/E14</f>
        <v>151.37614678899084</v>
      </c>
      <c r="F16" s="56">
        <f>F5/F14</f>
        <v>111.11019283746556</v>
      </c>
    </row>
    <row r="17" spans="2:6" x14ac:dyDescent="0.45">
      <c r="C17" s="14"/>
      <c r="D17" s="14"/>
      <c r="E17" s="14"/>
      <c r="F17" s="14"/>
    </row>
    <row r="18" spans="2:6" x14ac:dyDescent="0.45">
      <c r="C18" s="14"/>
      <c r="D18" s="14"/>
      <c r="E18" s="14"/>
      <c r="F18" s="14"/>
    </row>
    <row r="19" spans="2:6" x14ac:dyDescent="0.45">
      <c r="B19" s="1" t="s">
        <v>57</v>
      </c>
      <c r="C19" s="14"/>
      <c r="D19" s="14"/>
      <c r="E19" s="14"/>
      <c r="F19" s="14"/>
    </row>
    <row r="20" spans="2:6" ht="19.8" x14ac:dyDescent="0.5">
      <c r="B20" s="9"/>
      <c r="C20" s="28" t="s">
        <v>17</v>
      </c>
      <c r="D20" s="28" t="s">
        <v>18</v>
      </c>
      <c r="E20" s="28" t="s">
        <v>19</v>
      </c>
      <c r="F20" s="28" t="s">
        <v>20</v>
      </c>
    </row>
    <row r="21" spans="2:6" x14ac:dyDescent="0.45">
      <c r="B21" t="s">
        <v>54</v>
      </c>
      <c r="C21" s="14"/>
      <c r="D21" s="14"/>
      <c r="E21" s="14"/>
      <c r="F21" s="14"/>
    </row>
    <row r="22" spans="2:6" x14ac:dyDescent="0.45">
      <c r="B22" s="13">
        <v>0.05</v>
      </c>
      <c r="C22" s="16">
        <f>C$5*(1+$B22)</f>
        <v>15750</v>
      </c>
      <c r="D22" s="16">
        <f t="shared" ref="D22:F24" si="1">D$5*(1+$B22)</f>
        <v>9274.65</v>
      </c>
      <c r="E22" s="16">
        <f t="shared" si="1"/>
        <v>17325</v>
      </c>
      <c r="F22" s="15">
        <f t="shared" si="1"/>
        <v>42349.65</v>
      </c>
    </row>
    <row r="23" spans="2:6" x14ac:dyDescent="0.45">
      <c r="B23" s="13">
        <v>0.1</v>
      </c>
      <c r="C23" s="16">
        <f t="shared" ref="C23:C24" si="2">C$5*(1+$B23)</f>
        <v>16500</v>
      </c>
      <c r="D23" s="16">
        <f t="shared" si="1"/>
        <v>9716.3000000000011</v>
      </c>
      <c r="E23" s="16">
        <f t="shared" si="1"/>
        <v>18150</v>
      </c>
      <c r="F23" s="15">
        <f t="shared" si="1"/>
        <v>44366.3</v>
      </c>
    </row>
    <row r="24" spans="2:6" x14ac:dyDescent="0.45">
      <c r="B24" s="13">
        <v>0.2</v>
      </c>
      <c r="C24" s="16">
        <f t="shared" si="2"/>
        <v>18000</v>
      </c>
      <c r="D24" s="16">
        <f t="shared" si="1"/>
        <v>10599.6</v>
      </c>
      <c r="E24" s="16">
        <f t="shared" si="1"/>
        <v>19800</v>
      </c>
      <c r="F24" s="15">
        <f t="shared" si="1"/>
        <v>48399.6</v>
      </c>
    </row>
    <row r="25" spans="2:6" x14ac:dyDescent="0.45">
      <c r="F25" s="1"/>
    </row>
    <row r="26" spans="2:6" x14ac:dyDescent="0.45">
      <c r="B26" t="s">
        <v>55</v>
      </c>
      <c r="F26" s="1"/>
    </row>
    <row r="27" spans="2:6" x14ac:dyDescent="0.45">
      <c r="B27" s="13">
        <v>0.05</v>
      </c>
      <c r="C27" s="16">
        <f>C22-C$9</f>
        <v>607.45212765957513</v>
      </c>
      <c r="D27" s="16">
        <f t="shared" ref="D27:F27" si="3">D22-D$9</f>
        <v>4275.6255319148931</v>
      </c>
      <c r="E27" s="16">
        <f t="shared" si="3"/>
        <v>6432.3659574468074</v>
      </c>
      <c r="F27" s="15">
        <f t="shared" si="3"/>
        <v>11315.443617021279</v>
      </c>
    </row>
    <row r="28" spans="2:6" x14ac:dyDescent="0.45">
      <c r="B28" s="13">
        <v>0.1</v>
      </c>
      <c r="C28" s="16">
        <f t="shared" ref="C28:F28" si="4">C23-C$9</f>
        <v>1357.4521276595751</v>
      </c>
      <c r="D28" s="16">
        <f t="shared" si="4"/>
        <v>4717.2755319148946</v>
      </c>
      <c r="E28" s="16">
        <f t="shared" si="4"/>
        <v>7257.3659574468074</v>
      </c>
      <c r="F28" s="15">
        <f t="shared" si="4"/>
        <v>13332.093617021281</v>
      </c>
    </row>
    <row r="29" spans="2:6" x14ac:dyDescent="0.45">
      <c r="B29" s="13">
        <v>0.2</v>
      </c>
      <c r="C29" s="16">
        <f t="shared" ref="C29:F29" si="5">C24-C$9</f>
        <v>2857.4521276595751</v>
      </c>
      <c r="D29" s="16">
        <f t="shared" si="5"/>
        <v>5600.5755319148939</v>
      </c>
      <c r="E29" s="16">
        <f t="shared" si="5"/>
        <v>8907.3659574468074</v>
      </c>
      <c r="F29" s="15">
        <f t="shared" si="5"/>
        <v>17365.393617021276</v>
      </c>
    </row>
    <row r="31" spans="2:6" x14ac:dyDescent="0.45">
      <c r="B31" s="11" t="s">
        <v>56</v>
      </c>
    </row>
    <row r="32" spans="2:6" x14ac:dyDescent="0.45">
      <c r="C32" s="12">
        <f>C27/C22</f>
        <v>3.8568389057750799E-2</v>
      </c>
      <c r="D32" s="12">
        <f t="shared" ref="D32:F32" si="6">D27/D22</f>
        <v>0.46100128111733524</v>
      </c>
      <c r="E32" s="12">
        <f t="shared" si="6"/>
        <v>0.37127653434036406</v>
      </c>
      <c r="F32" s="57">
        <f t="shared" si="6"/>
        <v>0.26719095947714511</v>
      </c>
    </row>
    <row r="33" spans="3:6" x14ac:dyDescent="0.45">
      <c r="C33" s="12">
        <f t="shared" ref="C33:F33" si="7">C28/C23</f>
        <v>8.2269825918762127E-2</v>
      </c>
      <c r="D33" s="12">
        <f t="shared" si="7"/>
        <v>0.48550122288472919</v>
      </c>
      <c r="E33" s="12">
        <f t="shared" si="7"/>
        <v>0.39985487368852934</v>
      </c>
      <c r="F33" s="57">
        <f t="shared" si="7"/>
        <v>0.30050046131909308</v>
      </c>
    </row>
    <row r="34" spans="3:6" x14ac:dyDescent="0.45">
      <c r="C34" s="12">
        <f t="shared" ref="C34:F34" si="8">C29/C24</f>
        <v>0.15874734042553196</v>
      </c>
      <c r="D34" s="12">
        <f t="shared" si="8"/>
        <v>0.5283761209776684</v>
      </c>
      <c r="E34" s="12">
        <f t="shared" si="8"/>
        <v>0.44986696754781857</v>
      </c>
      <c r="F34" s="57">
        <f t="shared" si="8"/>
        <v>0.35879208954250197</v>
      </c>
    </row>
  </sheetData>
  <phoneticPr fontId="2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896F-BD71-422C-AD75-3A1724794EDB}">
  <dimension ref="B3:N63"/>
  <sheetViews>
    <sheetView showGridLines="0" tabSelected="1" zoomScale="61" workbookViewId="0">
      <selection activeCell="J10" sqref="J10"/>
    </sheetView>
  </sheetViews>
  <sheetFormatPr defaultColWidth="9.19921875" defaultRowHeight="18" outlineLevelRow="1" x14ac:dyDescent="0.45"/>
  <cols>
    <col min="2" max="2" width="23.5" customWidth="1"/>
    <col min="3" max="3" width="30.19921875" customWidth="1"/>
    <col min="4" max="4" width="47.296875" customWidth="1"/>
    <col min="5" max="5" width="17.19921875" customWidth="1"/>
    <col min="6" max="6" width="18.5" customWidth="1"/>
    <col min="7" max="7" width="1.5" customWidth="1"/>
    <col min="8" max="8" width="12.5" customWidth="1"/>
    <col min="9" max="9" width="15.5" customWidth="1"/>
    <col min="10" max="10" width="14.5" customWidth="1"/>
    <col min="11" max="11" width="1.69921875" customWidth="1"/>
    <col min="12" max="12" width="15.796875" customWidth="1"/>
    <col min="13" max="13" width="15.5" customWidth="1"/>
    <col min="14" max="14" width="15" customWidth="1"/>
  </cols>
  <sheetData>
    <row r="3" spans="3:14" ht="36.6" x14ac:dyDescent="0.9">
      <c r="C3" s="90" t="s">
        <v>61</v>
      </c>
      <c r="D3" s="90"/>
      <c r="E3" s="90"/>
      <c r="F3" s="90"/>
      <c r="G3" s="91"/>
      <c r="H3" s="90"/>
      <c r="I3" s="90"/>
      <c r="J3" s="90"/>
      <c r="K3" s="91"/>
      <c r="L3" s="90"/>
      <c r="M3" s="90"/>
      <c r="N3" s="90"/>
    </row>
    <row r="4" spans="3:14" ht="43.5" customHeight="1" x14ac:dyDescent="0.55000000000000004">
      <c r="C4" s="120" t="s">
        <v>83</v>
      </c>
      <c r="D4" s="120"/>
      <c r="E4" s="120"/>
      <c r="F4" s="75"/>
      <c r="H4" s="78" t="s">
        <v>62</v>
      </c>
      <c r="I4" s="78"/>
      <c r="J4" s="78"/>
      <c r="L4" s="77"/>
      <c r="M4" s="77"/>
      <c r="N4" s="77"/>
    </row>
    <row r="5" spans="3:14" ht="107.25" customHeight="1" x14ac:dyDescent="0.55000000000000004">
      <c r="C5" s="121" t="s">
        <v>84</v>
      </c>
      <c r="D5" s="122"/>
      <c r="E5" s="122"/>
      <c r="F5" s="75"/>
      <c r="H5" s="119" t="s">
        <v>85</v>
      </c>
      <c r="I5" s="119"/>
      <c r="J5" s="119"/>
      <c r="L5" s="76"/>
      <c r="M5" s="76"/>
      <c r="N5" s="76"/>
    </row>
    <row r="7" spans="3:14" ht="86.4" x14ac:dyDescent="0.7">
      <c r="C7" s="62"/>
      <c r="D7" s="62"/>
      <c r="E7" s="66" t="s">
        <v>96</v>
      </c>
      <c r="F7" s="66" t="s">
        <v>63</v>
      </c>
      <c r="H7" s="66" t="s">
        <v>17</v>
      </c>
      <c r="I7" s="66" t="s">
        <v>18</v>
      </c>
      <c r="J7" s="66" t="s">
        <v>19</v>
      </c>
      <c r="L7" s="66" t="s">
        <v>99</v>
      </c>
      <c r="M7" s="66" t="s">
        <v>100</v>
      </c>
      <c r="N7" s="66" t="s">
        <v>101</v>
      </c>
    </row>
    <row r="8" spans="3:14" ht="28.8" outlineLevel="1" x14ac:dyDescent="0.7">
      <c r="C8" s="67" t="s">
        <v>21</v>
      </c>
      <c r="D8" s="79"/>
      <c r="E8" s="80"/>
      <c r="F8" s="80"/>
      <c r="H8" s="80"/>
      <c r="I8" s="80"/>
      <c r="J8" s="80"/>
      <c r="L8" s="82">
        <v>20000</v>
      </c>
      <c r="M8" s="82">
        <v>10000</v>
      </c>
      <c r="N8" s="82">
        <v>19500</v>
      </c>
    </row>
    <row r="9" spans="3:14" ht="28.8" outlineLevel="1" x14ac:dyDescent="0.7">
      <c r="C9" s="67"/>
      <c r="D9" s="79"/>
      <c r="E9" s="62"/>
      <c r="F9" s="66"/>
      <c r="H9" s="66"/>
      <c r="I9" s="66"/>
      <c r="J9" s="66"/>
      <c r="L9" s="83"/>
      <c r="M9" s="83"/>
      <c r="N9" s="83"/>
    </row>
    <row r="10" spans="3:14" ht="28.8" outlineLevel="1" x14ac:dyDescent="0.7">
      <c r="C10" s="67" t="s">
        <v>86</v>
      </c>
      <c r="D10" s="79" t="s">
        <v>87</v>
      </c>
      <c r="E10" s="70"/>
      <c r="F10" s="70"/>
      <c r="H10" s="66"/>
      <c r="I10" s="66"/>
      <c r="J10" s="66"/>
      <c r="L10" s="84">
        <f t="shared" ref="L10:L12" si="0">(E10*F10*H10)</f>
        <v>0</v>
      </c>
      <c r="M10" s="84">
        <f t="shared" ref="M10:M12" si="1">E10*F10*I10</f>
        <v>0</v>
      </c>
      <c r="N10" s="84">
        <f t="shared" ref="N10:N12" si="2">E10*F10*J10</f>
        <v>0</v>
      </c>
    </row>
    <row r="11" spans="3:14" ht="28.8" outlineLevel="1" x14ac:dyDescent="0.7">
      <c r="C11" s="67"/>
      <c r="D11" s="79" t="s">
        <v>88</v>
      </c>
      <c r="E11" s="70"/>
      <c r="F11" s="70"/>
      <c r="H11" s="66"/>
      <c r="I11" s="66"/>
      <c r="J11" s="66"/>
      <c r="L11" s="84">
        <f t="shared" si="0"/>
        <v>0</v>
      </c>
      <c r="M11" s="84">
        <f t="shared" si="1"/>
        <v>0</v>
      </c>
      <c r="N11" s="84">
        <f t="shared" si="2"/>
        <v>0</v>
      </c>
    </row>
    <row r="12" spans="3:14" ht="28.8" outlineLevel="1" x14ac:dyDescent="0.7">
      <c r="C12" s="67"/>
      <c r="D12" s="79" t="s">
        <v>89</v>
      </c>
      <c r="E12" s="70"/>
      <c r="F12" s="70"/>
      <c r="H12" s="66"/>
      <c r="I12" s="66"/>
      <c r="J12" s="66"/>
      <c r="L12" s="84">
        <f t="shared" si="0"/>
        <v>0</v>
      </c>
      <c r="M12" s="84">
        <f t="shared" si="1"/>
        <v>0</v>
      </c>
      <c r="N12" s="84">
        <f t="shared" si="2"/>
        <v>0</v>
      </c>
    </row>
    <row r="13" spans="3:14" ht="28.8" outlineLevel="1" x14ac:dyDescent="0.7">
      <c r="C13" s="67"/>
      <c r="D13" s="79"/>
      <c r="E13" s="62"/>
      <c r="F13" s="66"/>
      <c r="H13" s="66"/>
      <c r="I13" s="66"/>
      <c r="J13" s="66"/>
      <c r="L13" s="83"/>
      <c r="M13" s="83"/>
      <c r="N13" s="83"/>
    </row>
    <row r="14" spans="3:14" ht="28.8" outlineLevel="1" x14ac:dyDescent="0.7">
      <c r="C14" s="67" t="s">
        <v>90</v>
      </c>
      <c r="D14" s="79"/>
      <c r="E14" s="62"/>
      <c r="F14" s="66"/>
      <c r="H14" s="66"/>
      <c r="I14" s="66"/>
      <c r="J14" s="66"/>
      <c r="L14" s="83"/>
      <c r="M14" s="83"/>
      <c r="N14" s="83"/>
    </row>
    <row r="15" spans="3:14" ht="28.8" outlineLevel="1" x14ac:dyDescent="0.7">
      <c r="C15" s="67" t="s">
        <v>91</v>
      </c>
      <c r="D15" s="79" t="s">
        <v>92</v>
      </c>
      <c r="E15" s="70"/>
      <c r="F15" s="70"/>
      <c r="H15" s="66"/>
      <c r="I15" s="66"/>
      <c r="J15" s="66"/>
      <c r="L15" s="84">
        <f t="shared" ref="L15:L17" si="3">(E15*F15*H15)</f>
        <v>0</v>
      </c>
      <c r="M15" s="84">
        <f t="shared" ref="M15:M17" si="4">E15*F15*I15</f>
        <v>0</v>
      </c>
      <c r="N15" s="84">
        <f t="shared" ref="N15:N17" si="5">E15*F15*J15</f>
        <v>0</v>
      </c>
    </row>
    <row r="16" spans="3:14" ht="28.8" outlineLevel="1" x14ac:dyDescent="0.7">
      <c r="C16" s="67"/>
      <c r="D16" s="79" t="s">
        <v>93</v>
      </c>
      <c r="E16" s="70"/>
      <c r="F16" s="70"/>
      <c r="H16" s="66"/>
      <c r="I16" s="66"/>
      <c r="J16" s="66"/>
      <c r="L16" s="84">
        <f t="shared" si="3"/>
        <v>0</v>
      </c>
      <c r="M16" s="84">
        <f t="shared" si="4"/>
        <v>0</v>
      </c>
      <c r="N16" s="84">
        <f t="shared" si="5"/>
        <v>0</v>
      </c>
    </row>
    <row r="17" spans="2:14" ht="28.8" outlineLevel="1" x14ac:dyDescent="0.7">
      <c r="C17" s="67"/>
      <c r="D17" s="79" t="s">
        <v>94</v>
      </c>
      <c r="E17" s="70"/>
      <c r="F17" s="70"/>
      <c r="H17" s="66"/>
      <c r="I17" s="66"/>
      <c r="J17" s="66"/>
      <c r="L17" s="84">
        <f t="shared" si="3"/>
        <v>0</v>
      </c>
      <c r="M17" s="84">
        <f t="shared" si="4"/>
        <v>0</v>
      </c>
      <c r="N17" s="84">
        <f t="shared" si="5"/>
        <v>0</v>
      </c>
    </row>
    <row r="18" spans="2:14" ht="28.8" outlineLevel="1" x14ac:dyDescent="0.7">
      <c r="C18" s="67"/>
      <c r="D18" s="79"/>
      <c r="E18" s="62"/>
      <c r="F18" s="66"/>
      <c r="H18" s="66"/>
      <c r="I18" s="66"/>
      <c r="J18" s="66"/>
      <c r="L18" s="83"/>
      <c r="M18" s="83"/>
      <c r="N18" s="83"/>
    </row>
    <row r="19" spans="2:14" ht="28.8" outlineLevel="1" x14ac:dyDescent="0.7">
      <c r="C19" s="67" t="s">
        <v>95</v>
      </c>
      <c r="D19" s="79" t="s">
        <v>98</v>
      </c>
      <c r="E19" s="70"/>
      <c r="F19" s="70"/>
      <c r="H19" s="66"/>
      <c r="I19" s="66"/>
      <c r="J19" s="66"/>
      <c r="L19" s="84">
        <f>(E19*F19*H19)</f>
        <v>0</v>
      </c>
      <c r="M19" s="84">
        <f>E19*F19*I19</f>
        <v>0</v>
      </c>
      <c r="N19" s="84">
        <f>E19*F19*J19</f>
        <v>0</v>
      </c>
    </row>
    <row r="20" spans="2:14" ht="28.8" outlineLevel="1" x14ac:dyDescent="0.7">
      <c r="C20" s="67"/>
      <c r="D20" s="79" t="s">
        <v>97</v>
      </c>
      <c r="E20" s="70"/>
      <c r="F20" s="70"/>
      <c r="H20" s="66"/>
      <c r="I20" s="66"/>
      <c r="J20" s="66"/>
      <c r="L20" s="84">
        <f>(E20*F20*H20)</f>
        <v>0</v>
      </c>
      <c r="M20" s="84">
        <f>E20*F20*I20</f>
        <v>0</v>
      </c>
      <c r="N20" s="84">
        <f>E20*F20*J20</f>
        <v>0</v>
      </c>
    </row>
    <row r="21" spans="2:14" ht="28.8" outlineLevel="1" x14ac:dyDescent="0.7">
      <c r="C21" s="81"/>
      <c r="D21" s="79"/>
      <c r="E21" s="62">
        <f>SUM(E8:E20)</f>
        <v>0</v>
      </c>
      <c r="F21" s="66"/>
      <c r="H21" s="66"/>
      <c r="I21" s="66"/>
      <c r="J21" s="66"/>
      <c r="L21" s="83">
        <f>SUM(L10:L20)</f>
        <v>0</v>
      </c>
      <c r="M21" s="83">
        <f t="shared" ref="M21:N21" si="6">SUM(M10:M20)</f>
        <v>0</v>
      </c>
      <c r="N21" s="83">
        <f t="shared" si="6"/>
        <v>0</v>
      </c>
    </row>
    <row r="22" spans="2:14" ht="61.5" customHeight="1" x14ac:dyDescent="0.7">
      <c r="C22" s="123" t="s">
        <v>64</v>
      </c>
      <c r="D22" s="124"/>
      <c r="E22" s="62"/>
      <c r="F22" s="66"/>
      <c r="H22" s="66"/>
      <c r="I22" s="66"/>
      <c r="J22" s="66"/>
      <c r="L22" s="83"/>
      <c r="M22" s="83"/>
      <c r="N22" s="83"/>
    </row>
    <row r="23" spans="2:14" ht="28.8" x14ac:dyDescent="0.7">
      <c r="B23" s="68"/>
      <c r="C23" s="62"/>
      <c r="D23" s="69" t="s">
        <v>65</v>
      </c>
      <c r="E23" s="70">
        <v>3</v>
      </c>
      <c r="F23" s="71">
        <v>35.48723404255319</v>
      </c>
      <c r="H23" s="70">
        <v>1</v>
      </c>
      <c r="I23" s="70">
        <v>1</v>
      </c>
      <c r="J23" s="70">
        <v>1</v>
      </c>
      <c r="L23" s="84">
        <f t="shared" ref="L23:L28" si="7">(E23*F23*H23)</f>
        <v>106.46170212765958</v>
      </c>
      <c r="M23" s="84">
        <f t="shared" ref="M23:M28" si="8">E23*F23*I23</f>
        <v>106.46170212765958</v>
      </c>
      <c r="N23" s="84">
        <f t="shared" ref="N23:N28" si="9">E23*F23*J23</f>
        <v>106.46170212765958</v>
      </c>
    </row>
    <row r="24" spans="2:14" ht="28.8" x14ac:dyDescent="0.7">
      <c r="B24" s="68"/>
      <c r="C24" s="67"/>
      <c r="D24" s="69" t="s">
        <v>66</v>
      </c>
      <c r="E24" s="70">
        <v>1</v>
      </c>
      <c r="F24" s="71">
        <v>25.834042553191491</v>
      </c>
      <c r="H24" s="70">
        <v>1</v>
      </c>
      <c r="I24" s="70">
        <v>1</v>
      </c>
      <c r="J24" s="70">
        <v>1</v>
      </c>
      <c r="L24" s="84">
        <f t="shared" si="7"/>
        <v>25.834042553191491</v>
      </c>
      <c r="M24" s="84">
        <f t="shared" si="8"/>
        <v>25.834042553191491</v>
      </c>
      <c r="N24" s="84">
        <f t="shared" si="9"/>
        <v>25.834042553191491</v>
      </c>
    </row>
    <row r="25" spans="2:14" ht="28.8" x14ac:dyDescent="0.7">
      <c r="B25" s="68"/>
      <c r="C25" s="67"/>
      <c r="D25" s="69" t="s">
        <v>67</v>
      </c>
      <c r="E25" s="70">
        <v>0</v>
      </c>
      <c r="F25" s="71">
        <v>39.608510638297872</v>
      </c>
      <c r="H25" s="70">
        <v>1</v>
      </c>
      <c r="I25" s="70">
        <v>1</v>
      </c>
      <c r="J25" s="70">
        <v>1</v>
      </c>
      <c r="L25" s="84">
        <f t="shared" si="7"/>
        <v>0</v>
      </c>
      <c r="M25" s="84">
        <f t="shared" si="8"/>
        <v>0</v>
      </c>
      <c r="N25" s="84">
        <f t="shared" si="9"/>
        <v>0</v>
      </c>
    </row>
    <row r="26" spans="2:14" ht="28.8" x14ac:dyDescent="0.7">
      <c r="B26" s="68"/>
      <c r="C26" s="67"/>
      <c r="D26" s="69" t="s">
        <v>68</v>
      </c>
      <c r="E26" s="70">
        <v>10</v>
      </c>
      <c r="F26" s="71">
        <v>49.939361702127663</v>
      </c>
      <c r="H26" s="70">
        <v>1</v>
      </c>
      <c r="I26" s="70">
        <v>1</v>
      </c>
      <c r="J26" s="70">
        <v>1</v>
      </c>
      <c r="L26" s="84">
        <f t="shared" si="7"/>
        <v>499.39361702127661</v>
      </c>
      <c r="M26" s="84">
        <f t="shared" si="8"/>
        <v>499.39361702127661</v>
      </c>
      <c r="N26" s="84">
        <f t="shared" si="9"/>
        <v>499.39361702127661</v>
      </c>
    </row>
    <row r="27" spans="2:14" ht="28.8" x14ac:dyDescent="0.7">
      <c r="B27" s="68"/>
      <c r="C27" s="67"/>
      <c r="D27" s="69" t="s">
        <v>69</v>
      </c>
      <c r="E27" s="70">
        <v>10</v>
      </c>
      <c r="F27" s="71">
        <v>44.633510638297871</v>
      </c>
      <c r="H27" s="70">
        <v>1</v>
      </c>
      <c r="I27" s="70">
        <v>1</v>
      </c>
      <c r="J27" s="70">
        <v>1</v>
      </c>
      <c r="L27" s="84">
        <f t="shared" si="7"/>
        <v>446.33510638297872</v>
      </c>
      <c r="M27" s="84">
        <f t="shared" si="8"/>
        <v>446.33510638297872</v>
      </c>
      <c r="N27" s="84">
        <f t="shared" si="9"/>
        <v>446.33510638297872</v>
      </c>
    </row>
    <row r="28" spans="2:14" ht="28.8" x14ac:dyDescent="0.7">
      <c r="B28" s="68"/>
      <c r="C28" s="67"/>
      <c r="D28" s="69"/>
      <c r="E28" s="70">
        <f>SUM(E23:E27)</f>
        <v>24</v>
      </c>
      <c r="F28" s="70"/>
      <c r="H28" s="70"/>
      <c r="I28" s="70"/>
      <c r="J28" s="70"/>
      <c r="L28" s="84">
        <f t="shared" si="7"/>
        <v>0</v>
      </c>
      <c r="M28" s="84">
        <f t="shared" si="8"/>
        <v>0</v>
      </c>
      <c r="N28" s="84">
        <f t="shared" si="9"/>
        <v>0</v>
      </c>
    </row>
    <row r="29" spans="2:14" ht="59.55" customHeight="1" x14ac:dyDescent="0.7">
      <c r="B29" s="68"/>
      <c r="C29" s="117" t="s">
        <v>70</v>
      </c>
      <c r="D29" s="118"/>
      <c r="E29" s="62"/>
      <c r="F29" s="62"/>
      <c r="H29" s="62"/>
      <c r="I29" s="62"/>
      <c r="J29" s="62"/>
      <c r="L29" s="85"/>
      <c r="M29" s="85"/>
      <c r="N29" s="85"/>
    </row>
    <row r="30" spans="2:14" ht="28.8" x14ac:dyDescent="0.7">
      <c r="C30" s="67" t="s">
        <v>9</v>
      </c>
      <c r="D30" s="72" t="s">
        <v>71</v>
      </c>
      <c r="E30" s="70">
        <v>7</v>
      </c>
      <c r="F30" s="71">
        <v>35.48723404255319</v>
      </c>
      <c r="H30" s="73">
        <v>0</v>
      </c>
      <c r="I30" s="73">
        <v>0</v>
      </c>
      <c r="J30" s="73">
        <v>0</v>
      </c>
      <c r="L30" s="84">
        <f>(E30*F30*H30)</f>
        <v>0</v>
      </c>
      <c r="M30" s="84">
        <f>E30*F30*I30</f>
        <v>0</v>
      </c>
      <c r="N30" s="84">
        <f>E30*F30*J30</f>
        <v>0</v>
      </c>
    </row>
    <row r="31" spans="2:14" ht="28.8" x14ac:dyDescent="0.7">
      <c r="C31" s="67"/>
      <c r="D31" s="72" t="s">
        <v>72</v>
      </c>
      <c r="E31" s="70">
        <v>22</v>
      </c>
      <c r="F31" s="71">
        <v>35.48723404255319</v>
      </c>
      <c r="H31" s="73">
        <v>0</v>
      </c>
      <c r="I31" s="73">
        <v>0</v>
      </c>
      <c r="J31" s="73">
        <v>1</v>
      </c>
      <c r="L31" s="84">
        <f>(E31*F31*H31)</f>
        <v>0</v>
      </c>
      <c r="M31" s="84">
        <f>E31*F31*I31</f>
        <v>0</v>
      </c>
      <c r="N31" s="84">
        <f>E31*F31*J31</f>
        <v>780.7191489361702</v>
      </c>
    </row>
    <row r="32" spans="2:14" ht="28.8" x14ac:dyDescent="0.7">
      <c r="C32" s="67"/>
      <c r="D32" s="72" t="s">
        <v>73</v>
      </c>
      <c r="E32" s="70">
        <v>42</v>
      </c>
      <c r="F32" s="71">
        <v>35.48723404255319</v>
      </c>
      <c r="H32" s="73">
        <v>1</v>
      </c>
      <c r="I32" s="73">
        <v>0</v>
      </c>
      <c r="J32" s="73">
        <v>0</v>
      </c>
      <c r="L32" s="84">
        <f>(E32*F32*H32)</f>
        <v>1490.4638297872341</v>
      </c>
      <c r="M32" s="84">
        <f>E32*F32*I32</f>
        <v>0</v>
      </c>
      <c r="N32" s="84">
        <f>E32*F32*J32</f>
        <v>0</v>
      </c>
    </row>
    <row r="33" spans="3:14" ht="28.8" x14ac:dyDescent="0.7">
      <c r="C33" s="67"/>
      <c r="D33" s="72" t="s">
        <v>74</v>
      </c>
      <c r="E33" s="70">
        <v>63</v>
      </c>
      <c r="F33" s="71">
        <v>35.48723404255319</v>
      </c>
      <c r="H33" s="73">
        <v>0</v>
      </c>
      <c r="I33" s="73">
        <v>0</v>
      </c>
      <c r="J33" s="73">
        <v>0</v>
      </c>
      <c r="L33" s="84">
        <f>(E33*F33*H33)</f>
        <v>0</v>
      </c>
      <c r="M33" s="84">
        <f>E33*F33*I33</f>
        <v>0</v>
      </c>
      <c r="N33" s="84">
        <f>E33*F33*J33</f>
        <v>0</v>
      </c>
    </row>
    <row r="34" spans="3:14" ht="28.8" x14ac:dyDescent="0.7">
      <c r="C34" s="67"/>
      <c r="D34" s="69"/>
      <c r="E34" s="69"/>
      <c r="F34" s="69"/>
      <c r="H34" s="69"/>
      <c r="I34" s="69"/>
      <c r="J34" s="69"/>
      <c r="L34" s="86"/>
      <c r="M34" s="86"/>
      <c r="N34" s="86"/>
    </row>
    <row r="35" spans="3:14" ht="28.8" x14ac:dyDescent="0.7">
      <c r="C35" s="67" t="s">
        <v>75</v>
      </c>
      <c r="D35" s="69"/>
      <c r="E35" s="70"/>
      <c r="F35" s="70"/>
      <c r="H35" s="73"/>
      <c r="I35" s="73"/>
      <c r="J35" s="73"/>
      <c r="L35" s="84">
        <f t="shared" ref="L35:L44" si="10">(E35*F35*H35)</f>
        <v>0</v>
      </c>
      <c r="M35" s="84">
        <f t="shared" ref="M35:M43" si="11">E35*F35*I35</f>
        <v>0</v>
      </c>
      <c r="N35" s="84">
        <f t="shared" ref="N35:N43" si="12">E35*F35*J35</f>
        <v>0</v>
      </c>
    </row>
    <row r="36" spans="3:14" ht="28.8" x14ac:dyDescent="0.7">
      <c r="C36" s="67"/>
      <c r="D36" s="69" t="s">
        <v>76</v>
      </c>
      <c r="E36" s="70">
        <v>2</v>
      </c>
      <c r="F36" s="71">
        <v>25.834042553191491</v>
      </c>
      <c r="H36" s="73">
        <v>0</v>
      </c>
      <c r="I36" s="73">
        <v>0</v>
      </c>
      <c r="J36" s="73">
        <v>0</v>
      </c>
      <c r="L36" s="84">
        <f t="shared" si="10"/>
        <v>0</v>
      </c>
      <c r="M36" s="84">
        <f t="shared" si="11"/>
        <v>0</v>
      </c>
      <c r="N36" s="84">
        <f t="shared" si="12"/>
        <v>0</v>
      </c>
    </row>
    <row r="37" spans="3:14" ht="28.8" x14ac:dyDescent="0.7">
      <c r="C37" s="67"/>
      <c r="D37" s="69"/>
      <c r="E37" s="70">
        <v>3</v>
      </c>
      <c r="F37" s="71">
        <v>25.834042553191491</v>
      </c>
      <c r="H37" s="73">
        <v>0</v>
      </c>
      <c r="I37" s="73">
        <v>0</v>
      </c>
      <c r="J37" s="73">
        <v>0</v>
      </c>
      <c r="L37" s="84">
        <f t="shared" si="10"/>
        <v>0</v>
      </c>
      <c r="M37" s="84">
        <f t="shared" si="11"/>
        <v>0</v>
      </c>
      <c r="N37" s="84">
        <f t="shared" si="12"/>
        <v>0</v>
      </c>
    </row>
    <row r="38" spans="3:14" ht="28.8" x14ac:dyDescent="0.7">
      <c r="C38" s="67"/>
      <c r="D38" s="69"/>
      <c r="E38" s="70">
        <v>4</v>
      </c>
      <c r="F38" s="71">
        <v>25.834042553191491</v>
      </c>
      <c r="H38" s="73">
        <v>0</v>
      </c>
      <c r="I38" s="73">
        <v>0</v>
      </c>
      <c r="J38" s="73">
        <v>0</v>
      </c>
      <c r="L38" s="84">
        <f t="shared" si="10"/>
        <v>0</v>
      </c>
      <c r="M38" s="84">
        <f t="shared" si="11"/>
        <v>0</v>
      </c>
      <c r="N38" s="84">
        <f t="shared" si="12"/>
        <v>0</v>
      </c>
    </row>
    <row r="39" spans="3:14" ht="28.8" x14ac:dyDescent="0.7">
      <c r="C39" s="67"/>
      <c r="D39" s="69"/>
      <c r="E39" s="70">
        <v>5</v>
      </c>
      <c r="F39" s="71">
        <v>25.834042553191491</v>
      </c>
      <c r="H39" s="73">
        <v>0</v>
      </c>
      <c r="I39" s="73">
        <v>0</v>
      </c>
      <c r="J39" s="73">
        <v>0</v>
      </c>
      <c r="L39" s="84">
        <f t="shared" si="10"/>
        <v>0</v>
      </c>
      <c r="M39" s="84">
        <f t="shared" si="11"/>
        <v>0</v>
      </c>
      <c r="N39" s="84">
        <f t="shared" si="12"/>
        <v>0</v>
      </c>
    </row>
    <row r="40" spans="3:14" ht="28.8" x14ac:dyDescent="0.7">
      <c r="C40" s="67"/>
      <c r="D40" s="69"/>
      <c r="E40" s="70">
        <v>6</v>
      </c>
      <c r="F40" s="71">
        <v>25.834042553191491</v>
      </c>
      <c r="H40" s="73">
        <v>0</v>
      </c>
      <c r="I40" s="73">
        <v>0</v>
      </c>
      <c r="J40" s="73">
        <v>0</v>
      </c>
      <c r="L40" s="84">
        <f t="shared" si="10"/>
        <v>0</v>
      </c>
      <c r="M40" s="84">
        <f t="shared" si="11"/>
        <v>0</v>
      </c>
      <c r="N40" s="84">
        <f t="shared" si="12"/>
        <v>0</v>
      </c>
    </row>
    <row r="41" spans="3:14" ht="28.8" x14ac:dyDescent="0.7">
      <c r="C41" s="67"/>
      <c r="D41" s="69"/>
      <c r="E41" s="70">
        <v>7</v>
      </c>
      <c r="F41" s="71">
        <v>25.834042553191491</v>
      </c>
      <c r="H41" s="73">
        <v>0</v>
      </c>
      <c r="I41" s="73">
        <v>0</v>
      </c>
      <c r="J41" s="73">
        <v>0</v>
      </c>
      <c r="L41" s="84">
        <f t="shared" si="10"/>
        <v>0</v>
      </c>
      <c r="M41" s="84">
        <f t="shared" si="11"/>
        <v>0</v>
      </c>
      <c r="N41" s="84">
        <f t="shared" si="12"/>
        <v>0</v>
      </c>
    </row>
    <row r="42" spans="3:14" ht="28.8" x14ac:dyDescent="0.7">
      <c r="C42" s="67"/>
      <c r="D42" s="69"/>
      <c r="E42" s="70">
        <v>8</v>
      </c>
      <c r="F42" s="71">
        <v>25.834042553191491</v>
      </c>
      <c r="H42" s="73">
        <v>0</v>
      </c>
      <c r="I42" s="73">
        <v>0</v>
      </c>
      <c r="J42" s="73">
        <v>1</v>
      </c>
      <c r="L42" s="84">
        <f t="shared" si="10"/>
        <v>0</v>
      </c>
      <c r="M42" s="84">
        <f t="shared" si="11"/>
        <v>0</v>
      </c>
      <c r="N42" s="84">
        <f t="shared" si="12"/>
        <v>206.67234042553193</v>
      </c>
    </row>
    <row r="43" spans="3:14" ht="28.8" x14ac:dyDescent="0.7">
      <c r="C43" s="67"/>
      <c r="D43" s="69"/>
      <c r="E43" s="70">
        <v>9</v>
      </c>
      <c r="F43" s="71">
        <v>25.834042553191491</v>
      </c>
      <c r="H43" s="73">
        <v>1</v>
      </c>
      <c r="I43" s="73">
        <v>0</v>
      </c>
      <c r="J43" s="73">
        <v>0</v>
      </c>
      <c r="L43" s="84">
        <f t="shared" si="10"/>
        <v>232.50638297872342</v>
      </c>
      <c r="M43" s="84">
        <f t="shared" si="11"/>
        <v>0</v>
      </c>
      <c r="N43" s="84">
        <f t="shared" si="12"/>
        <v>0</v>
      </c>
    </row>
    <row r="44" spans="3:14" ht="28.8" x14ac:dyDescent="0.7">
      <c r="C44" s="67"/>
      <c r="D44" s="69"/>
      <c r="E44" s="70">
        <v>10</v>
      </c>
      <c r="F44" s="71">
        <v>25.834042553191491</v>
      </c>
      <c r="H44" s="73">
        <v>0</v>
      </c>
      <c r="I44" s="73"/>
      <c r="J44" s="73"/>
      <c r="L44" s="84">
        <f t="shared" si="10"/>
        <v>0</v>
      </c>
      <c r="M44" s="84"/>
      <c r="N44" s="84"/>
    </row>
    <row r="45" spans="3:14" ht="28.8" x14ac:dyDescent="0.7">
      <c r="C45" s="67"/>
      <c r="D45" s="69"/>
      <c r="E45" s="69"/>
      <c r="F45" s="69"/>
      <c r="H45" s="69"/>
      <c r="I45" s="69"/>
      <c r="J45" s="69"/>
      <c r="L45" s="86"/>
      <c r="M45" s="86"/>
      <c r="N45" s="86"/>
    </row>
    <row r="46" spans="3:14" ht="28.8" x14ac:dyDescent="0.7">
      <c r="C46" s="67" t="s">
        <v>13</v>
      </c>
      <c r="D46" s="69" t="s">
        <v>77</v>
      </c>
      <c r="E46" s="70">
        <v>25</v>
      </c>
      <c r="F46" s="71">
        <v>39.608510638297872</v>
      </c>
      <c r="H46" s="73">
        <v>1</v>
      </c>
      <c r="I46" s="73">
        <v>0</v>
      </c>
      <c r="J46" s="73">
        <v>1</v>
      </c>
      <c r="L46" s="84">
        <f>(E46*F46*H46)</f>
        <v>990.21276595744678</v>
      </c>
      <c r="M46" s="84">
        <f>E46*F46*I46</f>
        <v>0</v>
      </c>
      <c r="N46" s="84">
        <f>E46*F46*J46</f>
        <v>990.21276595744678</v>
      </c>
    </row>
    <row r="47" spans="3:14" ht="28.8" x14ac:dyDescent="0.7">
      <c r="C47" s="67"/>
      <c r="D47" s="69" t="s">
        <v>78</v>
      </c>
      <c r="E47" s="70">
        <v>50</v>
      </c>
      <c r="F47" s="71">
        <v>39.608510638297872</v>
      </c>
      <c r="H47" s="73">
        <v>1</v>
      </c>
      <c r="I47" s="73">
        <v>0</v>
      </c>
      <c r="J47" s="73">
        <v>0</v>
      </c>
      <c r="L47" s="84">
        <f>(E47*F47*H47)</f>
        <v>1980.4255319148936</v>
      </c>
      <c r="M47" s="84">
        <f>E47*F47*I47</f>
        <v>0</v>
      </c>
      <c r="N47" s="84">
        <f>E47*F47*J47</f>
        <v>0</v>
      </c>
    </row>
    <row r="48" spans="3:14" ht="28.8" x14ac:dyDescent="0.7">
      <c r="C48" s="67"/>
      <c r="D48" s="69"/>
      <c r="E48" s="69"/>
      <c r="F48" s="69"/>
      <c r="H48" s="69"/>
      <c r="I48" s="69"/>
      <c r="J48" s="69"/>
      <c r="L48" s="86"/>
      <c r="M48" s="86"/>
      <c r="N48" s="86"/>
    </row>
    <row r="49" spans="3:14" ht="28.8" x14ac:dyDescent="0.7">
      <c r="C49" s="67" t="s">
        <v>14</v>
      </c>
      <c r="D49" s="69" t="s">
        <v>79</v>
      </c>
      <c r="E49" s="70"/>
      <c r="F49" s="70"/>
      <c r="H49" s="73">
        <v>0</v>
      </c>
      <c r="I49" s="73">
        <v>0</v>
      </c>
      <c r="J49" s="73">
        <v>0</v>
      </c>
      <c r="L49" s="84">
        <f>(E49*F49*H49)</f>
        <v>0</v>
      </c>
      <c r="M49" s="84">
        <f>E49*F49*I49</f>
        <v>0</v>
      </c>
      <c r="N49" s="84">
        <f>E49*F49*J49</f>
        <v>0</v>
      </c>
    </row>
    <row r="50" spans="3:14" ht="28.8" x14ac:dyDescent="0.7">
      <c r="C50" s="67"/>
      <c r="D50" s="69">
        <v>20</v>
      </c>
      <c r="E50" s="70">
        <v>20</v>
      </c>
      <c r="F50" s="71">
        <v>49.939361702127663</v>
      </c>
      <c r="H50" s="73">
        <v>0</v>
      </c>
      <c r="I50" s="73">
        <v>0</v>
      </c>
      <c r="J50" s="73">
        <v>0</v>
      </c>
      <c r="L50" s="84">
        <f>(E50*F50*H50)</f>
        <v>0</v>
      </c>
      <c r="M50" s="84">
        <f>E50*F50*I50</f>
        <v>0</v>
      </c>
      <c r="N50" s="84">
        <f>E50*F50*J50</f>
        <v>0</v>
      </c>
    </row>
    <row r="51" spans="3:14" ht="28.8" x14ac:dyDescent="0.7">
      <c r="C51" s="67"/>
      <c r="D51" s="69">
        <v>30</v>
      </c>
      <c r="E51" s="70">
        <v>30</v>
      </c>
      <c r="F51" s="71">
        <v>49.939361702127663</v>
      </c>
      <c r="H51" s="73">
        <v>0</v>
      </c>
      <c r="I51" s="73">
        <v>0</v>
      </c>
      <c r="J51" s="73">
        <v>0</v>
      </c>
      <c r="L51" s="84">
        <f>(E51*F51*H51)</f>
        <v>0</v>
      </c>
      <c r="M51" s="84">
        <f>E51*F51*I51</f>
        <v>0</v>
      </c>
      <c r="N51" s="84">
        <f>E51*F51*J51</f>
        <v>0</v>
      </c>
    </row>
    <row r="52" spans="3:14" ht="28.8" x14ac:dyDescent="0.7">
      <c r="C52" s="67"/>
      <c r="D52" s="69">
        <v>40</v>
      </c>
      <c r="E52" s="70">
        <v>40</v>
      </c>
      <c r="F52" s="71">
        <v>49.939361702127663</v>
      </c>
      <c r="H52" s="73">
        <v>1</v>
      </c>
      <c r="I52" s="73">
        <v>0</v>
      </c>
      <c r="J52" s="73">
        <v>0</v>
      </c>
      <c r="L52" s="84">
        <f>(E52*F52*H52)</f>
        <v>1997.5744680851064</v>
      </c>
      <c r="M52" s="84">
        <f>E52*F52*I52</f>
        <v>0</v>
      </c>
      <c r="N52" s="84">
        <f>E52*F52*J52</f>
        <v>0</v>
      </c>
    </row>
    <row r="53" spans="3:14" ht="28.8" x14ac:dyDescent="0.7">
      <c r="C53" s="67"/>
      <c r="D53" s="74" t="s">
        <v>80</v>
      </c>
      <c r="E53" s="70">
        <v>50</v>
      </c>
      <c r="F53" s="71">
        <v>49.939361702127663</v>
      </c>
      <c r="H53" s="73">
        <v>0</v>
      </c>
      <c r="I53" s="73">
        <v>0</v>
      </c>
      <c r="J53" s="73">
        <v>0</v>
      </c>
      <c r="L53" s="84">
        <f>(E53*F53*H53)</f>
        <v>0</v>
      </c>
      <c r="M53" s="84">
        <f>E53*F53*I53</f>
        <v>0</v>
      </c>
      <c r="N53" s="84">
        <f>E53*F53*J53</f>
        <v>0</v>
      </c>
    </row>
    <row r="54" spans="3:14" ht="28.8" x14ac:dyDescent="0.7">
      <c r="C54" s="67" t="s">
        <v>81</v>
      </c>
      <c r="D54" s="69" t="s">
        <v>82</v>
      </c>
      <c r="E54" s="69"/>
      <c r="F54" s="69"/>
      <c r="H54" s="69"/>
      <c r="I54" s="69"/>
      <c r="J54" s="69"/>
      <c r="L54" s="86"/>
      <c r="M54" s="86"/>
      <c r="N54" s="86"/>
    </row>
    <row r="55" spans="3:14" ht="22.2" x14ac:dyDescent="0.55000000000000004">
      <c r="C55" s="63"/>
      <c r="D55" s="69">
        <v>20</v>
      </c>
      <c r="E55" s="70">
        <v>20</v>
      </c>
      <c r="F55" s="71">
        <v>44.633510638297871</v>
      </c>
      <c r="H55" s="73">
        <v>0</v>
      </c>
      <c r="I55" s="73">
        <v>0</v>
      </c>
      <c r="J55" s="73">
        <v>0</v>
      </c>
      <c r="L55" s="84">
        <f>(E55*F55*H55)</f>
        <v>0</v>
      </c>
      <c r="M55" s="84">
        <f>E55*F55*I55</f>
        <v>0</v>
      </c>
      <c r="N55" s="84">
        <f>E55*F55*J55</f>
        <v>0</v>
      </c>
    </row>
    <row r="56" spans="3:14" ht="22.2" x14ac:dyDescent="0.55000000000000004">
      <c r="C56" s="63"/>
      <c r="D56" s="69">
        <v>30</v>
      </c>
      <c r="E56" s="70">
        <v>30</v>
      </c>
      <c r="F56" s="71">
        <v>44.633510638297871</v>
      </c>
      <c r="H56" s="73">
        <v>0</v>
      </c>
      <c r="I56" s="73">
        <v>0</v>
      </c>
      <c r="J56" s="73">
        <v>1</v>
      </c>
      <c r="L56" s="84">
        <f>(E56*F56*H56)</f>
        <v>0</v>
      </c>
      <c r="M56" s="84">
        <f>E56*F56*I56</f>
        <v>0</v>
      </c>
      <c r="N56" s="84">
        <f>E56*F56*J56</f>
        <v>1339.0053191489362</v>
      </c>
    </row>
    <row r="57" spans="3:14" ht="22.2" x14ac:dyDescent="0.55000000000000004">
      <c r="C57" s="63"/>
      <c r="D57" s="69">
        <v>40</v>
      </c>
      <c r="E57" s="70">
        <v>40</v>
      </c>
      <c r="F57" s="71">
        <v>44.633510638297871</v>
      </c>
      <c r="H57" s="73">
        <v>1</v>
      </c>
      <c r="I57" s="73">
        <v>0</v>
      </c>
      <c r="J57" s="73">
        <v>0</v>
      </c>
      <c r="L57" s="84">
        <f>(E57*F57*H57)</f>
        <v>1785.3404255319149</v>
      </c>
      <c r="M57" s="84">
        <f>E57*F57*I57</f>
        <v>0</v>
      </c>
      <c r="N57" s="84">
        <f>E57*F57*J57</f>
        <v>0</v>
      </c>
    </row>
    <row r="58" spans="3:14" ht="22.2" x14ac:dyDescent="0.55000000000000004">
      <c r="C58" s="63"/>
      <c r="D58" s="74" t="s">
        <v>80</v>
      </c>
      <c r="E58" s="70">
        <v>50</v>
      </c>
      <c r="F58" s="71">
        <v>44.633510638297871</v>
      </c>
      <c r="H58" s="73">
        <v>0</v>
      </c>
      <c r="I58" s="73">
        <v>0</v>
      </c>
      <c r="J58" s="73">
        <v>0</v>
      </c>
      <c r="L58" s="84">
        <f>(E58*F58*H58)</f>
        <v>0</v>
      </c>
      <c r="M58" s="84">
        <f>E58*F58*I58</f>
        <v>0</v>
      </c>
      <c r="N58" s="84">
        <f>E58*F58*J58</f>
        <v>0</v>
      </c>
    </row>
    <row r="59" spans="3:14" ht="32.4" x14ac:dyDescent="0.8">
      <c r="C59" s="63"/>
      <c r="D59" s="62"/>
      <c r="E59" s="64"/>
      <c r="F59" s="64"/>
      <c r="H59" s="70">
        <f>(E23+E24+E25+E26+E27)+(E30*H30)+(E31*H31)+(E32*H32)+(E33*H33)+(E36*H36)+(E38*H38)+(E40*H40)+(E42*H42)+(E43*H43)+(E46*H46)+(E47*H47)+(E50*H50)+(E51*H51)+(E52*H52)+(E53*H53)+(E55*H55)+(E56*H56)+(E57*H57)+(E58*H58)+(E37*H37)+(E39*H39)+(E41*H41)+(E44*H44)</f>
        <v>230</v>
      </c>
      <c r="I59" s="65"/>
      <c r="J59" s="65"/>
      <c r="L59" s="92">
        <f>SUM(L23:L58)</f>
        <v>9554.5478723404267</v>
      </c>
      <c r="M59" s="92">
        <f>SUM(M23:M58)</f>
        <v>1078.0244680851065</v>
      </c>
      <c r="N59" s="92">
        <f>SUM(N23:N58)</f>
        <v>4394.6340425531916</v>
      </c>
    </row>
    <row r="62" spans="3:14" ht="22.2" x14ac:dyDescent="0.55000000000000004">
      <c r="C62" s="87" t="s">
        <v>24</v>
      </c>
      <c r="D62" s="87"/>
      <c r="E62" s="87"/>
      <c r="F62" s="87"/>
      <c r="G62" s="87"/>
      <c r="H62" s="87"/>
      <c r="I62" s="87"/>
      <c r="J62" s="87"/>
      <c r="K62" s="87"/>
      <c r="L62" s="88">
        <f>L8-L21-L59</f>
        <v>10445.452127659573</v>
      </c>
      <c r="M62" s="88">
        <f t="shared" ref="M62:N62" si="13">M8-M21-M59</f>
        <v>8921.9755319148935</v>
      </c>
      <c r="N62" s="88">
        <f t="shared" si="13"/>
        <v>15105.365957446807</v>
      </c>
    </row>
    <row r="63" spans="3:14" ht="22.2" x14ac:dyDescent="0.55000000000000004">
      <c r="C63" s="87" t="s">
        <v>25</v>
      </c>
      <c r="D63" s="87"/>
      <c r="E63" s="87"/>
      <c r="F63" s="87"/>
      <c r="G63" s="87"/>
      <c r="H63" s="87"/>
      <c r="I63" s="87"/>
      <c r="J63" s="87"/>
      <c r="K63" s="87"/>
      <c r="L63" s="89">
        <f>L62/L8</f>
        <v>0.52227260638297868</v>
      </c>
      <c r="M63" s="89">
        <f t="shared" ref="M63:N63" si="14">M62/M8</f>
        <v>0.8921975531914893</v>
      </c>
      <c r="N63" s="89">
        <f t="shared" si="14"/>
        <v>0.7746341516639389</v>
      </c>
    </row>
  </sheetData>
  <mergeCells count="5">
    <mergeCell ref="C29:D29"/>
    <mergeCell ref="H5:J5"/>
    <mergeCell ref="C4:E4"/>
    <mergeCell ref="C5:E5"/>
    <mergeCell ref="C22:D22"/>
  </mergeCells>
  <phoneticPr fontId="23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8C92-21F6-4047-9EA6-BB15D0FF9CBE}">
  <dimension ref="B1:N53"/>
  <sheetViews>
    <sheetView showGridLines="0" topLeftCell="A25" zoomScaleNormal="100" workbookViewId="0">
      <selection activeCell="H45" sqref="H45"/>
    </sheetView>
  </sheetViews>
  <sheetFormatPr defaultRowHeight="18" x14ac:dyDescent="0.45"/>
  <cols>
    <col min="2" max="2" width="19.796875" customWidth="1"/>
    <col min="3" max="3" width="12.5" customWidth="1"/>
    <col min="4" max="4" width="14.296875" customWidth="1"/>
    <col min="5" max="5" width="12.5" customWidth="1"/>
    <col min="6" max="6" width="14" customWidth="1"/>
    <col min="7" max="7" width="10.19921875" customWidth="1"/>
    <col min="8" max="8" width="10.5" bestFit="1" customWidth="1"/>
    <col min="9" max="9" width="12.296875" customWidth="1"/>
    <col min="10" max="10" width="21.19921875" bestFit="1" customWidth="1"/>
    <col min="11" max="11" width="10.5" bestFit="1" customWidth="1"/>
    <col min="12" max="12" width="11.5" bestFit="1" customWidth="1"/>
  </cols>
  <sheetData>
    <row r="1" spans="2:12" ht="32.4" x14ac:dyDescent="0.45">
      <c r="B1" s="45" t="s">
        <v>60</v>
      </c>
    </row>
    <row r="2" spans="2:12" ht="15" customHeight="1" x14ac:dyDescent="0.45">
      <c r="I2" s="112" t="s">
        <v>0</v>
      </c>
      <c r="J2" s="112"/>
      <c r="K2" s="112"/>
      <c r="L2" s="112"/>
    </row>
    <row r="3" spans="2:12" x14ac:dyDescent="0.45">
      <c r="I3" s="112"/>
      <c r="J3" s="112"/>
      <c r="K3" s="112"/>
      <c r="L3" s="112"/>
    </row>
    <row r="4" spans="2:12" ht="19.8" x14ac:dyDescent="0.5">
      <c r="B4" s="113" t="s">
        <v>1</v>
      </c>
      <c r="C4" s="113"/>
      <c r="D4" s="113"/>
      <c r="E4" s="113"/>
      <c r="F4" s="113"/>
      <c r="G4" s="113"/>
      <c r="I4" s="112"/>
      <c r="J4" s="112"/>
      <c r="K4" s="112"/>
      <c r="L4" s="112"/>
    </row>
    <row r="5" spans="2:12" ht="15" customHeight="1" x14ac:dyDescent="0.45">
      <c r="B5" s="114" t="s">
        <v>2</v>
      </c>
      <c r="C5" s="115" t="s">
        <v>3</v>
      </c>
      <c r="D5" s="116" t="s">
        <v>4</v>
      </c>
      <c r="E5" s="116" t="s">
        <v>5</v>
      </c>
      <c r="F5" s="116" t="s">
        <v>6</v>
      </c>
      <c r="G5" s="115"/>
      <c r="H5" s="115"/>
      <c r="I5" t="s">
        <v>35</v>
      </c>
      <c r="K5" s="8">
        <v>2080</v>
      </c>
    </row>
    <row r="6" spans="2:12" ht="15" customHeight="1" x14ac:dyDescent="0.45">
      <c r="B6" s="114"/>
      <c r="C6" s="115"/>
      <c r="D6" s="116"/>
      <c r="E6" s="116"/>
      <c r="F6" s="116"/>
      <c r="G6" s="115"/>
      <c r="H6" s="115"/>
      <c r="I6" t="s">
        <v>7</v>
      </c>
    </row>
    <row r="7" spans="2:12" x14ac:dyDescent="0.45">
      <c r="E7" s="2"/>
      <c r="F7" s="2"/>
      <c r="G7" s="2"/>
      <c r="H7" s="2"/>
      <c r="I7" t="s">
        <v>8</v>
      </c>
    </row>
    <row r="8" spans="2:12" x14ac:dyDescent="0.45">
      <c r="B8" t="s">
        <v>9</v>
      </c>
      <c r="C8" s="3">
        <v>2</v>
      </c>
      <c r="D8" s="16">
        <f>66716*C8</f>
        <v>133432</v>
      </c>
      <c r="E8" s="16">
        <f>$K$5*C8</f>
        <v>4160</v>
      </c>
      <c r="F8" s="14">
        <f>D8/E8</f>
        <v>32.075000000000003</v>
      </c>
      <c r="G8" t="s">
        <v>10</v>
      </c>
      <c r="I8" t="s">
        <v>11</v>
      </c>
    </row>
    <row r="9" spans="2:12" x14ac:dyDescent="0.45">
      <c r="C9" s="4"/>
      <c r="D9" s="16"/>
      <c r="E9" s="16"/>
      <c r="F9" s="14"/>
    </row>
    <row r="10" spans="2:12" x14ac:dyDescent="0.45">
      <c r="B10" t="s">
        <v>12</v>
      </c>
      <c r="C10" s="3">
        <v>1</v>
      </c>
      <c r="D10" s="16">
        <f>48568*C10</f>
        <v>48568</v>
      </c>
      <c r="E10" s="16">
        <f>$K$5*C10</f>
        <v>2080</v>
      </c>
      <c r="F10" s="14">
        <f>D10/E10</f>
        <v>23.35</v>
      </c>
      <c r="G10" t="s">
        <v>10</v>
      </c>
    </row>
    <row r="11" spans="2:12" x14ac:dyDescent="0.45">
      <c r="C11" s="3"/>
      <c r="D11" s="16"/>
      <c r="E11" s="16"/>
      <c r="F11" s="14"/>
    </row>
    <row r="12" spans="2:12" x14ac:dyDescent="0.45">
      <c r="B12" t="s">
        <v>13</v>
      </c>
      <c r="C12" s="3">
        <v>3</v>
      </c>
      <c r="D12" s="16">
        <f>74464*C12</f>
        <v>223392</v>
      </c>
      <c r="E12" s="16">
        <f>$K$5*C12</f>
        <v>6240</v>
      </c>
      <c r="F12" s="14">
        <f>D12/E12</f>
        <v>35.799999999999997</v>
      </c>
      <c r="G12" t="s">
        <v>10</v>
      </c>
    </row>
    <row r="13" spans="2:12" x14ac:dyDescent="0.45">
      <c r="C13" s="3"/>
      <c r="D13" s="16"/>
      <c r="E13" s="16"/>
      <c r="F13" s="14"/>
    </row>
    <row r="14" spans="2:12" x14ac:dyDescent="0.45">
      <c r="B14" t="s">
        <v>14</v>
      </c>
      <c r="C14" s="3">
        <v>3</v>
      </c>
      <c r="D14" s="16">
        <f>93886*C14</f>
        <v>281658</v>
      </c>
      <c r="E14" s="16">
        <f>$K$5*C14</f>
        <v>6240</v>
      </c>
      <c r="F14" s="14">
        <f>D14/E14</f>
        <v>45.137500000000003</v>
      </c>
      <c r="G14" t="s">
        <v>10</v>
      </c>
    </row>
    <row r="15" spans="2:12" x14ac:dyDescent="0.45">
      <c r="C15" s="3"/>
      <c r="D15" s="16"/>
      <c r="E15" s="16"/>
      <c r="F15" s="14"/>
    </row>
    <row r="16" spans="2:12" x14ac:dyDescent="0.45">
      <c r="B16" t="s">
        <v>15</v>
      </c>
      <c r="C16" s="3">
        <v>3</v>
      </c>
      <c r="D16" s="16">
        <f>83911*C16</f>
        <v>251733</v>
      </c>
      <c r="E16" s="16">
        <f>$K$5*C16</f>
        <v>6240</v>
      </c>
      <c r="F16" s="14">
        <f>D16/E16</f>
        <v>40.341826923076923</v>
      </c>
      <c r="G16" t="s">
        <v>10</v>
      </c>
    </row>
    <row r="17" spans="2:14" x14ac:dyDescent="0.45">
      <c r="B17" s="29" t="s">
        <v>16</v>
      </c>
      <c r="C17" s="30"/>
      <c r="D17" s="31">
        <f>SUM(D8:D16)</f>
        <v>938783</v>
      </c>
      <c r="E17" s="31">
        <f>SUM(E8:E16)</f>
        <v>24960</v>
      </c>
      <c r="F17" s="32">
        <f>D17/E17</f>
        <v>37.611498397435895</v>
      </c>
      <c r="G17" s="29" t="s">
        <v>10</v>
      </c>
    </row>
    <row r="19" spans="2:14" x14ac:dyDescent="0.45">
      <c r="B19" s="34" t="s">
        <v>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1" spans="2:14" ht="19.8" x14ac:dyDescent="0.5">
      <c r="B21" s="9"/>
      <c r="C21" s="28" t="s">
        <v>17</v>
      </c>
      <c r="D21" s="28" t="s">
        <v>18</v>
      </c>
      <c r="E21" s="28" t="s">
        <v>19</v>
      </c>
      <c r="F21" s="28" t="s">
        <v>20</v>
      </c>
    </row>
    <row r="23" spans="2:14" x14ac:dyDescent="0.45">
      <c r="B23" s="1" t="s">
        <v>21</v>
      </c>
      <c r="C23" s="15">
        <v>15000</v>
      </c>
      <c r="D23" s="15">
        <v>8833</v>
      </c>
      <c r="E23" s="15">
        <v>16500</v>
      </c>
      <c r="F23" s="15">
        <f>SUM(C23:E23)</f>
        <v>40333</v>
      </c>
    </row>
    <row r="24" spans="2:14" x14ac:dyDescent="0.45">
      <c r="C24" s="16"/>
      <c r="D24" s="16"/>
      <c r="E24" s="16"/>
      <c r="F24" s="16"/>
    </row>
    <row r="25" spans="2:14" x14ac:dyDescent="0.45">
      <c r="B25" t="s">
        <v>22</v>
      </c>
      <c r="C25" s="16">
        <v>1642</v>
      </c>
      <c r="D25" s="16">
        <v>1520</v>
      </c>
      <c r="E25" s="16">
        <v>4224</v>
      </c>
      <c r="F25" s="15">
        <f t="shared" ref="F25:F26" si="0">SUM(C25:E25)</f>
        <v>7386</v>
      </c>
    </row>
    <row r="26" spans="2:14" x14ac:dyDescent="0.45">
      <c r="B26" t="s">
        <v>23</v>
      </c>
      <c r="C26" s="16">
        <v>3946</v>
      </c>
      <c r="D26" s="16">
        <v>2401</v>
      </c>
      <c r="E26" s="16">
        <v>2274</v>
      </c>
      <c r="F26" s="15">
        <f t="shared" si="0"/>
        <v>8621</v>
      </c>
    </row>
    <row r="27" spans="2:14" ht="18.600000000000001" thickBot="1" x14ac:dyDescent="0.5">
      <c r="B27" s="1" t="s">
        <v>37</v>
      </c>
      <c r="C27" s="18">
        <f>SUM(C25:C26)</f>
        <v>5588</v>
      </c>
      <c r="D27" s="18">
        <f t="shared" ref="D27:F27" si="1">SUM(D25:D26)</f>
        <v>3921</v>
      </c>
      <c r="E27" s="18">
        <f t="shared" si="1"/>
        <v>6498</v>
      </c>
      <c r="F27" s="18">
        <f t="shared" si="1"/>
        <v>16007</v>
      </c>
    </row>
    <row r="29" spans="2:14" x14ac:dyDescent="0.45">
      <c r="B29" s="40" t="s">
        <v>39</v>
      </c>
    </row>
    <row r="30" spans="2:14" x14ac:dyDescent="0.45">
      <c r="B30" s="36" t="s">
        <v>9</v>
      </c>
      <c r="C30" s="37">
        <v>45</v>
      </c>
      <c r="D30" s="37">
        <v>3</v>
      </c>
      <c r="E30" s="37">
        <v>25</v>
      </c>
      <c r="F30" s="41">
        <f>SUM(C30:E30)</f>
        <v>73</v>
      </c>
    </row>
    <row r="31" spans="2:14" x14ac:dyDescent="0.45">
      <c r="B31" s="36" t="s">
        <v>12</v>
      </c>
      <c r="C31" s="37">
        <v>10</v>
      </c>
      <c r="D31" s="37">
        <v>1</v>
      </c>
      <c r="E31" s="37">
        <v>9</v>
      </c>
      <c r="F31" s="41">
        <f t="shared" ref="F31:F34" si="2">SUM(C31:E31)</f>
        <v>20</v>
      </c>
    </row>
    <row r="32" spans="2:14" x14ac:dyDescent="0.45">
      <c r="B32" s="36" t="s">
        <v>13</v>
      </c>
      <c r="C32" s="37">
        <v>75</v>
      </c>
      <c r="D32" s="37">
        <v>0</v>
      </c>
      <c r="E32" s="37">
        <v>25</v>
      </c>
      <c r="F32" s="41">
        <f t="shared" si="2"/>
        <v>100</v>
      </c>
    </row>
    <row r="33" spans="2:13" x14ac:dyDescent="0.45">
      <c r="B33" s="36" t="s">
        <v>14</v>
      </c>
      <c r="C33" s="37">
        <v>50</v>
      </c>
      <c r="D33" s="37">
        <v>10</v>
      </c>
      <c r="E33" s="37">
        <v>10</v>
      </c>
      <c r="F33" s="41">
        <f t="shared" si="2"/>
        <v>70</v>
      </c>
    </row>
    <row r="34" spans="2:13" x14ac:dyDescent="0.45">
      <c r="B34" s="36" t="s">
        <v>15</v>
      </c>
      <c r="C34" s="37">
        <v>50</v>
      </c>
      <c r="D34" s="37">
        <v>10</v>
      </c>
      <c r="E34" s="37">
        <v>40</v>
      </c>
      <c r="F34" s="41">
        <f t="shared" si="2"/>
        <v>100</v>
      </c>
    </row>
    <row r="35" spans="2:13" x14ac:dyDescent="0.45">
      <c r="B35" s="39" t="s">
        <v>42</v>
      </c>
      <c r="C35" s="44">
        <f>SUM(C30:C34)</f>
        <v>230</v>
      </c>
      <c r="D35" s="44">
        <f t="shared" ref="D35:F35" si="3">SUM(D30:D34)</f>
        <v>24</v>
      </c>
      <c r="E35" s="44">
        <f t="shared" si="3"/>
        <v>109</v>
      </c>
      <c r="F35" s="44">
        <f t="shared" si="3"/>
        <v>363</v>
      </c>
    </row>
    <row r="36" spans="2:13" x14ac:dyDescent="0.45">
      <c r="B36" s="36"/>
      <c r="C36" s="37"/>
      <c r="D36" s="37"/>
      <c r="E36" s="37"/>
      <c r="M36" s="7"/>
    </row>
    <row r="37" spans="2:13" x14ac:dyDescent="0.45">
      <c r="B37" s="38" t="s">
        <v>9</v>
      </c>
      <c r="C37" s="16">
        <f t="shared" ref="C37:E41" si="4">C30*INDEX($F$8:$F$16,MATCH($B37,$B$8:$B$16,0))</f>
        <v>1443.3750000000002</v>
      </c>
      <c r="D37" s="16">
        <f t="shared" si="4"/>
        <v>96.225000000000009</v>
      </c>
      <c r="E37" s="16">
        <f t="shared" si="4"/>
        <v>801.87500000000011</v>
      </c>
      <c r="F37" s="15">
        <f t="shared" ref="F37" si="5">SUM(C37:E37)</f>
        <v>2341.4750000000004</v>
      </c>
      <c r="M37" s="7"/>
    </row>
    <row r="38" spans="2:13" x14ac:dyDescent="0.45">
      <c r="B38" s="38" t="s">
        <v>12</v>
      </c>
      <c r="C38" s="16">
        <f t="shared" si="4"/>
        <v>233.5</v>
      </c>
      <c r="D38" s="16">
        <f t="shared" si="4"/>
        <v>23.35</v>
      </c>
      <c r="E38" s="16">
        <f t="shared" si="4"/>
        <v>210.15</v>
      </c>
      <c r="F38" s="15">
        <f t="shared" ref="F38" si="6">SUM(C38:E38)</f>
        <v>467</v>
      </c>
    </row>
    <row r="39" spans="2:13" x14ac:dyDescent="0.45">
      <c r="B39" s="38" t="str">
        <f>B12</f>
        <v>List Building</v>
      </c>
      <c r="C39" s="16">
        <f t="shared" si="4"/>
        <v>2685</v>
      </c>
      <c r="D39" s="16">
        <f t="shared" si="4"/>
        <v>0</v>
      </c>
      <c r="E39" s="16">
        <f t="shared" si="4"/>
        <v>894.99999999999989</v>
      </c>
      <c r="F39" s="15">
        <f t="shared" ref="F39:F41" si="7">SUM(C39:E39)</f>
        <v>3580</v>
      </c>
    </row>
    <row r="40" spans="2:13" x14ac:dyDescent="0.45">
      <c r="B40" s="38" t="str">
        <f>B14</f>
        <v>Guest Interaction</v>
      </c>
      <c r="C40" s="16">
        <f t="shared" si="4"/>
        <v>2256.875</v>
      </c>
      <c r="D40" s="16">
        <f t="shared" si="4"/>
        <v>451.375</v>
      </c>
      <c r="E40" s="16">
        <f t="shared" si="4"/>
        <v>451.375</v>
      </c>
      <c r="F40" s="15">
        <f t="shared" si="7"/>
        <v>3159.625</v>
      </c>
    </row>
    <row r="41" spans="2:13" x14ac:dyDescent="0.45">
      <c r="B41" s="38" t="str">
        <f>B16</f>
        <v>Account Mgt</v>
      </c>
      <c r="C41" s="16">
        <f t="shared" si="4"/>
        <v>2017.0913461538462</v>
      </c>
      <c r="D41" s="16">
        <f t="shared" si="4"/>
        <v>403.41826923076923</v>
      </c>
      <c r="E41" s="16">
        <f t="shared" si="4"/>
        <v>1613.6730769230769</v>
      </c>
      <c r="F41" s="15">
        <f t="shared" si="7"/>
        <v>4034.1826923076924</v>
      </c>
    </row>
    <row r="42" spans="2:13" x14ac:dyDescent="0.45">
      <c r="B42" s="35" t="s">
        <v>38</v>
      </c>
      <c r="C42" s="42">
        <f>SUM(C37:C41)</f>
        <v>8635.8413461538457</v>
      </c>
      <c r="D42" s="42">
        <f t="shared" ref="D42:F42" si="8">SUM(D37:D41)</f>
        <v>974.36826923076933</v>
      </c>
      <c r="E42" s="42">
        <f t="shared" si="8"/>
        <v>3972.0730769230768</v>
      </c>
      <c r="F42" s="42">
        <f t="shared" si="8"/>
        <v>13582.282692307694</v>
      </c>
    </row>
    <row r="43" spans="2:13" ht="18.600000000000001" thickBot="1" x14ac:dyDescent="0.5">
      <c r="B43" s="35" t="s">
        <v>40</v>
      </c>
      <c r="C43" s="18">
        <f>C27+C42</f>
        <v>14223.841346153846</v>
      </c>
      <c r="D43" s="18">
        <f>D27+D42</f>
        <v>4895.3682692307693</v>
      </c>
      <c r="E43" s="18">
        <f>E27+E42</f>
        <v>10470.073076923076</v>
      </c>
      <c r="F43" s="18">
        <f>F27+F42</f>
        <v>29589.282692307694</v>
      </c>
    </row>
    <row r="44" spans="2:13" x14ac:dyDescent="0.45">
      <c r="B44" s="35"/>
    </row>
    <row r="45" spans="2:13" ht="18.600000000000001" thickBot="1" x14ac:dyDescent="0.5">
      <c r="B45" s="35" t="s">
        <v>41</v>
      </c>
      <c r="C45" s="18">
        <f>C23-C43</f>
        <v>776.15865384615427</v>
      </c>
      <c r="D45" s="18">
        <f>D23-D43</f>
        <v>3937.6317307692307</v>
      </c>
      <c r="E45" s="18">
        <f>E23-E43</f>
        <v>6029.9269230769241</v>
      </c>
      <c r="F45" s="18">
        <f>F23-F43</f>
        <v>10743.717307692306</v>
      </c>
    </row>
    <row r="46" spans="2:13" x14ac:dyDescent="0.45">
      <c r="B46" s="43" t="s">
        <v>25</v>
      </c>
      <c r="C46" s="12">
        <f>C45/C23</f>
        <v>5.1743910256410286E-2</v>
      </c>
      <c r="D46" s="12">
        <f>D45/D23</f>
        <v>0.44578645202866868</v>
      </c>
      <c r="E46" s="12">
        <f>E45/E23</f>
        <v>0.36545011655011661</v>
      </c>
      <c r="F46" s="12">
        <f>F45/F23</f>
        <v>0.26637535783830379</v>
      </c>
    </row>
    <row r="47" spans="2:13" x14ac:dyDescent="0.45">
      <c r="B47" s="35"/>
      <c r="C47" s="5"/>
      <c r="D47" s="5"/>
      <c r="E47" s="5"/>
      <c r="F47" s="5"/>
    </row>
    <row r="48" spans="2:13" x14ac:dyDescent="0.45">
      <c r="B48" s="58" t="s">
        <v>58</v>
      </c>
      <c r="C48" s="59">
        <f>C45-'Slide 8'!C11</f>
        <v>918.70652618657914</v>
      </c>
      <c r="D48" s="59">
        <f>D45-'Slide 8'!D11</f>
        <v>103.65619885433716</v>
      </c>
      <c r="E48" s="59">
        <f>E45-'Slide 8'!E11</f>
        <v>422.5609656301167</v>
      </c>
      <c r="F48" s="60">
        <f>F45-'Slide 8'!F11</f>
        <v>1444.9236906710285</v>
      </c>
    </row>
    <row r="49" spans="2:6" x14ac:dyDescent="0.45">
      <c r="B49" s="61" t="s">
        <v>59</v>
      </c>
      <c r="C49" s="26">
        <f>C45/-'Slide 8'!C11-1</f>
        <v>4.4448982022865655</v>
      </c>
      <c r="D49" s="26">
        <f>D45/'Slide 8'!D11-1</f>
        <v>2.7036218147841407E-2</v>
      </c>
      <c r="E49" s="26">
        <f>E45/'Slide 8'!E11-1</f>
        <v>7.535819292638446E-2</v>
      </c>
      <c r="F49" s="27">
        <f>F45/'Slide 8'!F11-1</f>
        <v>0.15538829553396272</v>
      </c>
    </row>
    <row r="50" spans="2:6" x14ac:dyDescent="0.45">
      <c r="B50" s="35"/>
    </row>
    <row r="51" spans="2:6" x14ac:dyDescent="0.45">
      <c r="B51" s="35"/>
    </row>
    <row r="52" spans="2:6" x14ac:dyDescent="0.45">
      <c r="B52" s="35"/>
    </row>
    <row r="53" spans="2:6" x14ac:dyDescent="0.45">
      <c r="B53" s="35"/>
    </row>
  </sheetData>
  <mergeCells count="9">
    <mergeCell ref="I2:L4"/>
    <mergeCell ref="B4:G4"/>
    <mergeCell ref="B5:B6"/>
    <mergeCell ref="C5:C6"/>
    <mergeCell ref="D5:D6"/>
    <mergeCell ref="E5:E6"/>
    <mergeCell ref="F5:F6"/>
    <mergeCell ref="G5:G6"/>
    <mergeCell ref="H5:H6"/>
  </mergeCells>
  <phoneticPr fontId="23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05EF-940B-4987-8498-3BFB7D8677AD}">
  <dimension ref="A1"/>
  <sheetViews>
    <sheetView workbookViewId="0">
      <selection activeCell="P20" sqref="P20"/>
    </sheetView>
  </sheetViews>
  <sheetFormatPr defaultRowHeight="18" x14ac:dyDescent="0.45"/>
  <sheetData/>
  <phoneticPr fontId="2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Slide 6</vt:lpstr>
      <vt:lpstr>Slide 7</vt:lpstr>
      <vt:lpstr>Slide 8</vt:lpstr>
      <vt:lpstr>Time Equation Cost Calculator</vt:lpstr>
      <vt:lpstr>Theoretical capacity</vt:lpstr>
      <vt:lpstr>Case extracts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ElHayek, Ralph</dc:creator>
  <cp:keywords/>
  <dc:description/>
  <cp:lastModifiedBy>Hiroyuki Oyama/ 大山 祐之</cp:lastModifiedBy>
  <cp:revision/>
  <dcterms:created xsi:type="dcterms:W3CDTF">2023-04-20T16:04:56Z</dcterms:created>
  <dcterms:modified xsi:type="dcterms:W3CDTF">2023-06-12T15:57:10Z</dcterms:modified>
  <cp:category/>
  <cp:contentStatus/>
</cp:coreProperties>
</file>