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yodakyohei/Desktop/M&amp;A（通販事業）/シミュレーション表/"/>
    </mc:Choice>
  </mc:AlternateContent>
  <xr:revisionPtr revIDLastSave="0" documentId="13_ncr:1_{CF9A044A-F761-1B43-9A71-9815B3A66E0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月別PL計画表（第1期）" sheetId="7" r:id="rId1"/>
    <sheet name="月別販管費計画表（第1期）" sheetId="8" r:id="rId2"/>
    <sheet name="シミュレーション表（1年目） " sheetId="3" r:id="rId3"/>
    <sheet name="代理店" sheetId="17" r:id="rId4"/>
    <sheet name="Amazon(モール)" sheetId="15" r:id="rId5"/>
    <sheet name="セールモンスター（モール）" sheetId="1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3" l="1"/>
  <c r="F29" i="3"/>
  <c r="G29" i="3"/>
  <c r="H29" i="3"/>
  <c r="I29" i="3"/>
  <c r="J29" i="3"/>
  <c r="K29" i="3"/>
  <c r="L29" i="3"/>
  <c r="M29" i="3"/>
  <c r="N29" i="3"/>
  <c r="O29" i="3"/>
  <c r="D29" i="3"/>
  <c r="G18" i="16"/>
  <c r="H18" i="16"/>
  <c r="P18" i="16" s="1"/>
  <c r="I18" i="16"/>
  <c r="J18" i="16"/>
  <c r="K18" i="16"/>
  <c r="L18" i="16"/>
  <c r="M18" i="16"/>
  <c r="N18" i="16"/>
  <c r="O18" i="16"/>
  <c r="E18" i="16"/>
  <c r="F18" i="16"/>
  <c r="D18" i="16"/>
  <c r="J7" i="17"/>
  <c r="G7" i="17"/>
  <c r="D7" i="17"/>
  <c r="K15" i="17" s="1"/>
  <c r="D21" i="17"/>
  <c r="O17" i="17"/>
  <c r="N17" i="17"/>
  <c r="M17" i="17"/>
  <c r="L17" i="17"/>
  <c r="K17" i="17"/>
  <c r="J17" i="17"/>
  <c r="I17" i="17"/>
  <c r="H17" i="17"/>
  <c r="G17" i="17"/>
  <c r="F17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J15" i="17"/>
  <c r="P14" i="17"/>
  <c r="P13" i="17"/>
  <c r="P12" i="17"/>
  <c r="J8" i="17"/>
  <c r="G8" i="17"/>
  <c r="J5" i="17"/>
  <c r="G5" i="17"/>
  <c r="D5" i="17"/>
  <c r="D26" i="16"/>
  <c r="P22" i="16"/>
  <c r="O22" i="16"/>
  <c r="N22" i="16"/>
  <c r="M22" i="16"/>
  <c r="L22" i="16"/>
  <c r="K22" i="16"/>
  <c r="J22" i="16"/>
  <c r="I22" i="16"/>
  <c r="H22" i="16"/>
  <c r="G22" i="16"/>
  <c r="F22" i="16"/>
  <c r="E21" i="16"/>
  <c r="D21" i="16"/>
  <c r="P20" i="16"/>
  <c r="P19" i="16"/>
  <c r="O19" i="16"/>
  <c r="N19" i="16"/>
  <c r="M19" i="16"/>
  <c r="L19" i="16"/>
  <c r="K19" i="16"/>
  <c r="J19" i="16"/>
  <c r="I19" i="16"/>
  <c r="H19" i="16"/>
  <c r="G19" i="16"/>
  <c r="F19" i="16"/>
  <c r="J17" i="16"/>
  <c r="I17" i="16"/>
  <c r="H17" i="16"/>
  <c r="G17" i="16"/>
  <c r="P16" i="16"/>
  <c r="P15" i="16"/>
  <c r="P14" i="16"/>
  <c r="J10" i="16"/>
  <c r="G10" i="16"/>
  <c r="J9" i="16"/>
  <c r="G9" i="16"/>
  <c r="D9" i="16"/>
  <c r="O17" i="16" s="1"/>
  <c r="J5" i="16"/>
  <c r="G5" i="16"/>
  <c r="D5" i="16"/>
  <c r="F18" i="15"/>
  <c r="E12" i="7" s="1"/>
  <c r="G18" i="15"/>
  <c r="F12" i="7" s="1"/>
  <c r="H18" i="15"/>
  <c r="G12" i="7" s="1"/>
  <c r="I18" i="15"/>
  <c r="H12" i="7" s="1"/>
  <c r="J18" i="15"/>
  <c r="I12" i="7" s="1"/>
  <c r="K18" i="15"/>
  <c r="J12" i="7" s="1"/>
  <c r="L18" i="15"/>
  <c r="M18" i="15"/>
  <c r="L12" i="7" s="1"/>
  <c r="N18" i="15"/>
  <c r="O18" i="15"/>
  <c r="E18" i="15"/>
  <c r="D18" i="15"/>
  <c r="P15" i="15"/>
  <c r="P16" i="15"/>
  <c r="J9" i="15"/>
  <c r="J10" i="15" s="1"/>
  <c r="J5" i="15"/>
  <c r="G9" i="15"/>
  <c r="G10" i="15" s="1"/>
  <c r="G5" i="15"/>
  <c r="O8" i="7"/>
  <c r="D11" i="3"/>
  <c r="O28" i="8"/>
  <c r="O27" i="8"/>
  <c r="O26" i="8"/>
  <c r="O25" i="8"/>
  <c r="O24" i="8"/>
  <c r="O23" i="8"/>
  <c r="O22" i="8"/>
  <c r="O21" i="8"/>
  <c r="N20" i="8"/>
  <c r="M20" i="8"/>
  <c r="L20" i="8"/>
  <c r="K20" i="8"/>
  <c r="J20" i="8"/>
  <c r="I20" i="8"/>
  <c r="H20" i="8"/>
  <c r="G20" i="8"/>
  <c r="F20" i="8"/>
  <c r="E20" i="8"/>
  <c r="D20" i="8"/>
  <c r="C20" i="8"/>
  <c r="O37" i="8"/>
  <c r="O36" i="8"/>
  <c r="O35" i="8"/>
  <c r="O34" i="8"/>
  <c r="O33" i="8"/>
  <c r="D26" i="15"/>
  <c r="D9" i="15"/>
  <c r="O19" i="15"/>
  <c r="N19" i="15"/>
  <c r="M19" i="15"/>
  <c r="L19" i="15"/>
  <c r="K19" i="15"/>
  <c r="J19" i="15"/>
  <c r="I19" i="15"/>
  <c r="H19" i="15"/>
  <c r="G19" i="15"/>
  <c r="F19" i="15"/>
  <c r="O22" i="15"/>
  <c r="N22" i="15"/>
  <c r="M22" i="15"/>
  <c r="L22" i="15"/>
  <c r="K22" i="15"/>
  <c r="J22" i="15"/>
  <c r="I22" i="15"/>
  <c r="H22" i="15"/>
  <c r="G22" i="15"/>
  <c r="F22" i="15"/>
  <c r="E21" i="15"/>
  <c r="D21" i="15"/>
  <c r="N12" i="7"/>
  <c r="M12" i="7"/>
  <c r="K12" i="7"/>
  <c r="P20" i="15"/>
  <c r="P14" i="15"/>
  <c r="D5" i="15"/>
  <c r="O9" i="7"/>
  <c r="O4" i="7"/>
  <c r="O43" i="8"/>
  <c r="O44" i="8"/>
  <c r="O46" i="8"/>
  <c r="O47" i="8"/>
  <c r="O48" i="8"/>
  <c r="G9" i="3"/>
  <c r="J23" i="16" l="1"/>
  <c r="J24" i="16" s="1"/>
  <c r="H23" i="16"/>
  <c r="H24" i="16" s="1"/>
  <c r="G23" i="16"/>
  <c r="G24" i="16" s="1"/>
  <c r="I23" i="16"/>
  <c r="I24" i="16" s="1"/>
  <c r="O15" i="17"/>
  <c r="J18" i="17"/>
  <c r="J19" i="17" s="1"/>
  <c r="P16" i="17"/>
  <c r="G15" i="17"/>
  <c r="P17" i="17"/>
  <c r="M15" i="17"/>
  <c r="M18" i="17" s="1"/>
  <c r="M19" i="17" s="1"/>
  <c r="H15" i="17"/>
  <c r="H18" i="17" s="1"/>
  <c r="H19" i="17" s="1"/>
  <c r="I15" i="17"/>
  <c r="K18" i="17"/>
  <c r="K19" i="17" s="1"/>
  <c r="D15" i="17"/>
  <c r="L15" i="17"/>
  <c r="G18" i="17"/>
  <c r="G19" i="17" s="1"/>
  <c r="O18" i="17"/>
  <c r="O19" i="17" s="1"/>
  <c r="E15" i="17"/>
  <c r="E18" i="17" s="1"/>
  <c r="E19" i="17" s="1"/>
  <c r="D8" i="17"/>
  <c r="F15" i="17"/>
  <c r="N15" i="17"/>
  <c r="O23" i="16"/>
  <c r="O24" i="16" s="1"/>
  <c r="O21" i="16"/>
  <c r="G21" i="16"/>
  <c r="K17" i="16"/>
  <c r="D17" i="16"/>
  <c r="L17" i="16"/>
  <c r="E17" i="16"/>
  <c r="E23" i="16" s="1"/>
  <c r="E24" i="16" s="1"/>
  <c r="M17" i="16"/>
  <c r="D10" i="16"/>
  <c r="F17" i="16"/>
  <c r="N17" i="16"/>
  <c r="H21" i="16"/>
  <c r="I21" i="16"/>
  <c r="J21" i="16"/>
  <c r="K17" i="15"/>
  <c r="K21" i="15" s="1"/>
  <c r="D17" i="15"/>
  <c r="L17" i="15"/>
  <c r="L21" i="15" s="1"/>
  <c r="F17" i="15"/>
  <c r="F21" i="15" s="1"/>
  <c r="M17" i="15"/>
  <c r="M21" i="15" s="1"/>
  <c r="E17" i="15"/>
  <c r="D6" i="7" s="1"/>
  <c r="N17" i="15"/>
  <c r="N21" i="15" s="1"/>
  <c r="H17" i="15"/>
  <c r="H21" i="15" s="1"/>
  <c r="I17" i="15"/>
  <c r="I21" i="15" s="1"/>
  <c r="G17" i="15"/>
  <c r="G21" i="15" s="1"/>
  <c r="O17" i="15"/>
  <c r="O21" i="15" s="1"/>
  <c r="J17" i="15"/>
  <c r="J21" i="15" s="1"/>
  <c r="O20" i="8"/>
  <c r="F23" i="15"/>
  <c r="J23" i="15"/>
  <c r="O23" i="15"/>
  <c r="K23" i="15"/>
  <c r="P22" i="15"/>
  <c r="I23" i="15"/>
  <c r="G23" i="15"/>
  <c r="L23" i="15"/>
  <c r="P18" i="15"/>
  <c r="D10" i="15"/>
  <c r="K6" i="7"/>
  <c r="C6" i="7"/>
  <c r="H6" i="7"/>
  <c r="N6" i="7"/>
  <c r="J6" i="7"/>
  <c r="F6" i="7"/>
  <c r="I6" i="7"/>
  <c r="E6" i="7"/>
  <c r="C59" i="8"/>
  <c r="C31" i="7" s="1"/>
  <c r="O54" i="8"/>
  <c r="O53" i="8"/>
  <c r="O52" i="8"/>
  <c r="O51" i="8"/>
  <c r="N49" i="8"/>
  <c r="N25" i="7" s="1"/>
  <c r="M49" i="8"/>
  <c r="L49" i="8"/>
  <c r="K49" i="8"/>
  <c r="K25" i="7" s="1"/>
  <c r="J49" i="8"/>
  <c r="J25" i="7" s="1"/>
  <c r="I49" i="8"/>
  <c r="H49" i="8"/>
  <c r="H25" i="7" s="1"/>
  <c r="G49" i="8"/>
  <c r="G25" i="7" s="1"/>
  <c r="F49" i="8"/>
  <c r="F25" i="7" s="1"/>
  <c r="E49" i="8"/>
  <c r="D49" i="8"/>
  <c r="C49" i="8"/>
  <c r="C25" i="7" s="1"/>
  <c r="O45" i="8"/>
  <c r="O42" i="8"/>
  <c r="O40" i="8"/>
  <c r="O39" i="8"/>
  <c r="N38" i="8"/>
  <c r="N21" i="7" s="1"/>
  <c r="M38" i="8"/>
  <c r="M21" i="7" s="1"/>
  <c r="L38" i="8"/>
  <c r="L21" i="7" s="1"/>
  <c r="K38" i="8"/>
  <c r="K21" i="7" s="1"/>
  <c r="J38" i="8"/>
  <c r="J21" i="7" s="1"/>
  <c r="I38" i="8"/>
  <c r="I21" i="7" s="1"/>
  <c r="H38" i="8"/>
  <c r="H21" i="7" s="1"/>
  <c r="G38" i="8"/>
  <c r="F38" i="8"/>
  <c r="F21" i="7" s="1"/>
  <c r="E38" i="8"/>
  <c r="E21" i="7" s="1"/>
  <c r="D38" i="8"/>
  <c r="D21" i="7" s="1"/>
  <c r="C38" i="8"/>
  <c r="C21" i="7" s="1"/>
  <c r="O30" i="8"/>
  <c r="O29" i="8"/>
  <c r="O16" i="8"/>
  <c r="O15" i="8"/>
  <c r="N12" i="8"/>
  <c r="N18" i="7" s="1"/>
  <c r="M12" i="8"/>
  <c r="M18" i="7" s="1"/>
  <c r="L12" i="8"/>
  <c r="L18" i="7" s="1"/>
  <c r="K12" i="8"/>
  <c r="K18" i="7" s="1"/>
  <c r="J12" i="8"/>
  <c r="J18" i="7" s="1"/>
  <c r="I12" i="8"/>
  <c r="H12" i="8"/>
  <c r="H18" i="7" s="1"/>
  <c r="G12" i="8"/>
  <c r="G18" i="7" s="1"/>
  <c r="F12" i="8"/>
  <c r="F18" i="7" s="1"/>
  <c r="E12" i="8"/>
  <c r="E18" i="7" s="1"/>
  <c r="D12" i="8"/>
  <c r="D18" i="7" s="1"/>
  <c r="C12" i="8"/>
  <c r="C18" i="7" s="1"/>
  <c r="O11" i="8"/>
  <c r="O10" i="8"/>
  <c r="N9" i="8"/>
  <c r="N15" i="7" s="1"/>
  <c r="M9" i="8"/>
  <c r="M15" i="7" s="1"/>
  <c r="L9" i="8"/>
  <c r="L15" i="7" s="1"/>
  <c r="K9" i="8"/>
  <c r="K15" i="7" s="1"/>
  <c r="J9" i="8"/>
  <c r="I9" i="8"/>
  <c r="I15" i="7" s="1"/>
  <c r="H9" i="8"/>
  <c r="H15" i="7" s="1"/>
  <c r="G9" i="8"/>
  <c r="G15" i="7" s="1"/>
  <c r="F9" i="8"/>
  <c r="F15" i="7" s="1"/>
  <c r="E9" i="8"/>
  <c r="E15" i="7" s="1"/>
  <c r="D9" i="8"/>
  <c r="D15" i="7" s="1"/>
  <c r="C9" i="8"/>
  <c r="O8" i="8"/>
  <c r="O7" i="8"/>
  <c r="N6" i="8"/>
  <c r="N14" i="7" s="1"/>
  <c r="M6" i="8"/>
  <c r="M14" i="7" s="1"/>
  <c r="L6" i="8"/>
  <c r="L14" i="7" s="1"/>
  <c r="K6" i="8"/>
  <c r="K14" i="7" s="1"/>
  <c r="J6" i="8"/>
  <c r="J14" i="7" s="1"/>
  <c r="I6" i="8"/>
  <c r="I14" i="7" s="1"/>
  <c r="H6" i="8"/>
  <c r="H14" i="7" s="1"/>
  <c r="G6" i="8"/>
  <c r="G14" i="7" s="1"/>
  <c r="F6" i="8"/>
  <c r="F14" i="7" s="1"/>
  <c r="E6" i="8"/>
  <c r="E14" i="7" s="1"/>
  <c r="D6" i="8"/>
  <c r="D14" i="7" s="1"/>
  <c r="C6" i="8"/>
  <c r="C14" i="7" s="1"/>
  <c r="O5" i="8"/>
  <c r="O4" i="8"/>
  <c r="O71" i="7"/>
  <c r="O70" i="7"/>
  <c r="O69" i="7"/>
  <c r="O68" i="7"/>
  <c r="O67" i="7"/>
  <c r="O66" i="7"/>
  <c r="O65" i="7"/>
  <c r="O64" i="7"/>
  <c r="O63" i="7"/>
  <c r="O62" i="7"/>
  <c r="O61" i="7"/>
  <c r="N30" i="7"/>
  <c r="M30" i="7"/>
  <c r="L30" i="7"/>
  <c r="K30" i="7"/>
  <c r="J30" i="7"/>
  <c r="I30" i="7"/>
  <c r="H30" i="7"/>
  <c r="G30" i="7"/>
  <c r="F30" i="7"/>
  <c r="E30" i="7"/>
  <c r="D30" i="7"/>
  <c r="C30" i="7"/>
  <c r="N29" i="7"/>
  <c r="M29" i="7"/>
  <c r="L29" i="7"/>
  <c r="K29" i="7"/>
  <c r="J29" i="7"/>
  <c r="I29" i="7"/>
  <c r="H29" i="7"/>
  <c r="G29" i="7"/>
  <c r="F29" i="7"/>
  <c r="E29" i="7"/>
  <c r="D29" i="7"/>
  <c r="C29" i="7"/>
  <c r="N28" i="7"/>
  <c r="M28" i="7"/>
  <c r="L28" i="7"/>
  <c r="K28" i="7"/>
  <c r="J28" i="7"/>
  <c r="I28" i="7"/>
  <c r="H28" i="7"/>
  <c r="G28" i="7"/>
  <c r="F28" i="7"/>
  <c r="E28" i="7"/>
  <c r="D28" i="7"/>
  <c r="C28" i="7"/>
  <c r="N27" i="7"/>
  <c r="M27" i="7"/>
  <c r="L27" i="7"/>
  <c r="K27" i="7"/>
  <c r="J27" i="7"/>
  <c r="I27" i="7"/>
  <c r="H27" i="7"/>
  <c r="G27" i="7"/>
  <c r="F27" i="7"/>
  <c r="E27" i="7"/>
  <c r="D27" i="7"/>
  <c r="C27" i="7"/>
  <c r="N23" i="7"/>
  <c r="M23" i="7"/>
  <c r="L23" i="7"/>
  <c r="K23" i="7"/>
  <c r="J23" i="7"/>
  <c r="I23" i="7"/>
  <c r="H23" i="7"/>
  <c r="G23" i="7"/>
  <c r="F23" i="7"/>
  <c r="E23" i="7"/>
  <c r="D23" i="7"/>
  <c r="C23" i="7"/>
  <c r="N22" i="7"/>
  <c r="M22" i="7"/>
  <c r="L22" i="7"/>
  <c r="K22" i="7"/>
  <c r="J22" i="7"/>
  <c r="I22" i="7"/>
  <c r="H22" i="7"/>
  <c r="G22" i="7"/>
  <c r="F22" i="7"/>
  <c r="E22" i="7"/>
  <c r="D22" i="7"/>
  <c r="C22" i="7"/>
  <c r="I18" i="7"/>
  <c r="N17" i="7"/>
  <c r="M17" i="7"/>
  <c r="L17" i="7"/>
  <c r="K17" i="7"/>
  <c r="J17" i="7"/>
  <c r="I17" i="7"/>
  <c r="H17" i="7"/>
  <c r="G17" i="7"/>
  <c r="F17" i="7"/>
  <c r="E17" i="7"/>
  <c r="D17" i="7"/>
  <c r="N16" i="7"/>
  <c r="M16" i="7"/>
  <c r="L16" i="7"/>
  <c r="K16" i="7"/>
  <c r="J16" i="7"/>
  <c r="I16" i="7"/>
  <c r="H16" i="7"/>
  <c r="G16" i="7"/>
  <c r="F16" i="7"/>
  <c r="E16" i="7"/>
  <c r="D16" i="7"/>
  <c r="C16" i="7"/>
  <c r="J15" i="7"/>
  <c r="E48" i="3"/>
  <c r="D13" i="8" s="1"/>
  <c r="D19" i="8" s="1"/>
  <c r="D45" i="3"/>
  <c r="D47" i="3"/>
  <c r="D48" i="3"/>
  <c r="C13" i="8" s="1"/>
  <c r="C19" i="8" s="1"/>
  <c r="D49" i="3"/>
  <c r="D50" i="3"/>
  <c r="D51" i="3"/>
  <c r="D24" i="3"/>
  <c r="D44" i="3" s="1"/>
  <c r="E45" i="3"/>
  <c r="D12" i="3"/>
  <c r="D7" i="3"/>
  <c r="D6" i="3"/>
  <c r="S7" i="3"/>
  <c r="H8" i="3"/>
  <c r="H9" i="3" s="1"/>
  <c r="F48" i="3"/>
  <c r="E13" i="8" s="1"/>
  <c r="E19" i="8" s="1"/>
  <c r="F24" i="3"/>
  <c r="F26" i="3" s="1"/>
  <c r="F31" i="3" s="1"/>
  <c r="G31" i="3" s="1"/>
  <c r="O48" i="3"/>
  <c r="N13" i="8" s="1"/>
  <c r="N19" i="8" s="1"/>
  <c r="N48" i="3"/>
  <c r="M13" i="8" s="1"/>
  <c r="M19" i="8" s="1"/>
  <c r="M48" i="3"/>
  <c r="L13" i="8" s="1"/>
  <c r="L19" i="8" s="1"/>
  <c r="L48" i="3"/>
  <c r="K13" i="8" s="1"/>
  <c r="K19" i="8" s="1"/>
  <c r="K48" i="3"/>
  <c r="J13" i="8" s="1"/>
  <c r="J19" i="8" s="1"/>
  <c r="J48" i="3"/>
  <c r="I13" i="8" s="1"/>
  <c r="I19" i="8" s="1"/>
  <c r="I48" i="3"/>
  <c r="H13" i="8" s="1"/>
  <c r="H19" i="8" s="1"/>
  <c r="H48" i="3"/>
  <c r="G13" i="8" s="1"/>
  <c r="G19" i="8" s="1"/>
  <c r="G48" i="3"/>
  <c r="F13" i="8" s="1"/>
  <c r="F19" i="8" s="1"/>
  <c r="P23" i="3"/>
  <c r="O24" i="3"/>
  <c r="O26" i="3" s="1"/>
  <c r="O40" i="3" s="1"/>
  <c r="N24" i="3"/>
  <c r="N26" i="3" s="1"/>
  <c r="N39" i="3" s="1"/>
  <c r="O39" i="3" s="1"/>
  <c r="M24" i="3"/>
  <c r="M26" i="3" s="1"/>
  <c r="M38" i="3" s="1"/>
  <c r="N38" i="3" s="1"/>
  <c r="O38" i="3" s="1"/>
  <c r="L24" i="3"/>
  <c r="L26" i="3" s="1"/>
  <c r="L37" i="3" s="1"/>
  <c r="M37" i="3" s="1"/>
  <c r="N37" i="3" s="1"/>
  <c r="O37" i="3" s="1"/>
  <c r="K24" i="3"/>
  <c r="K26" i="3" s="1"/>
  <c r="K36" i="3" s="1"/>
  <c r="L36" i="3" s="1"/>
  <c r="M36" i="3" s="1"/>
  <c r="N36" i="3" s="1"/>
  <c r="O36" i="3" s="1"/>
  <c r="J24" i="3"/>
  <c r="J26" i="3" s="1"/>
  <c r="J35" i="3" s="1"/>
  <c r="K35" i="3" s="1"/>
  <c r="L35" i="3" s="1"/>
  <c r="M35" i="3" s="1"/>
  <c r="N35" i="3" s="1"/>
  <c r="O35" i="3" s="1"/>
  <c r="I24" i="3"/>
  <c r="I26" i="3" s="1"/>
  <c r="I34" i="3" s="1"/>
  <c r="J34" i="3" s="1"/>
  <c r="K34" i="3" s="1"/>
  <c r="L34" i="3" s="1"/>
  <c r="M34" i="3" s="1"/>
  <c r="N34" i="3" s="1"/>
  <c r="O34" i="3" s="1"/>
  <c r="H24" i="3"/>
  <c r="H26" i="3" s="1"/>
  <c r="H33" i="3" s="1"/>
  <c r="I33" i="3" s="1"/>
  <c r="G24" i="3"/>
  <c r="G26" i="3" s="1"/>
  <c r="G32" i="3" s="1"/>
  <c r="I18" i="17" l="1"/>
  <c r="I19" i="17" s="1"/>
  <c r="P15" i="17"/>
  <c r="D18" i="17"/>
  <c r="D19" i="17" s="1"/>
  <c r="F18" i="17"/>
  <c r="F19" i="17" s="1"/>
  <c r="L18" i="17"/>
  <c r="L19" i="17" s="1"/>
  <c r="N18" i="17"/>
  <c r="N19" i="17" s="1"/>
  <c r="M23" i="16"/>
  <c r="M24" i="16" s="1"/>
  <c r="M21" i="16"/>
  <c r="N23" i="16"/>
  <c r="N24" i="16" s="1"/>
  <c r="N21" i="16"/>
  <c r="K21" i="16"/>
  <c r="K23" i="16"/>
  <c r="K24" i="16" s="1"/>
  <c r="F23" i="16"/>
  <c r="F24" i="16" s="1"/>
  <c r="F21" i="16"/>
  <c r="L23" i="16"/>
  <c r="L24" i="16" s="1"/>
  <c r="L21" i="16"/>
  <c r="D23" i="16"/>
  <c r="D24" i="16" s="1"/>
  <c r="P17" i="16"/>
  <c r="L6" i="7"/>
  <c r="M6" i="7"/>
  <c r="M23" i="15"/>
  <c r="M24" i="15" s="1"/>
  <c r="G6" i="7"/>
  <c r="N23" i="15"/>
  <c r="N24" i="15" s="1"/>
  <c r="H23" i="15"/>
  <c r="O19" i="8"/>
  <c r="P19" i="15"/>
  <c r="K24" i="15"/>
  <c r="F24" i="15"/>
  <c r="P17" i="15"/>
  <c r="P21" i="15" s="1"/>
  <c r="D23" i="15"/>
  <c r="D24" i="15" s="1"/>
  <c r="J24" i="15"/>
  <c r="O24" i="15"/>
  <c r="H24" i="15"/>
  <c r="E23" i="15"/>
  <c r="E24" i="15" s="1"/>
  <c r="L24" i="15"/>
  <c r="G24" i="15"/>
  <c r="I24" i="15"/>
  <c r="O22" i="7"/>
  <c r="O23" i="7"/>
  <c r="O27" i="7"/>
  <c r="O28" i="7"/>
  <c r="O29" i="7"/>
  <c r="O30" i="7"/>
  <c r="O18" i="7"/>
  <c r="O16" i="7"/>
  <c r="O17" i="7"/>
  <c r="C41" i="8"/>
  <c r="C24" i="7" s="1"/>
  <c r="G18" i="8"/>
  <c r="G19" i="7" s="1"/>
  <c r="K18" i="8"/>
  <c r="K19" i="7" s="1"/>
  <c r="L18" i="8"/>
  <c r="L19" i="7" s="1"/>
  <c r="E18" i="8"/>
  <c r="E19" i="7" s="1"/>
  <c r="F18" i="8"/>
  <c r="F19" i="7" s="1"/>
  <c r="N18" i="8"/>
  <c r="N19" i="7" s="1"/>
  <c r="O14" i="7"/>
  <c r="D46" i="3"/>
  <c r="M18" i="8"/>
  <c r="M19" i="7" s="1"/>
  <c r="O9" i="8"/>
  <c r="C32" i="8"/>
  <c r="J18" i="8"/>
  <c r="J19" i="7" s="1"/>
  <c r="O13" i="8"/>
  <c r="D18" i="8"/>
  <c r="O6" i="8"/>
  <c r="O12" i="8"/>
  <c r="C15" i="7"/>
  <c r="H18" i="8"/>
  <c r="H19" i="7" s="1"/>
  <c r="I18" i="8"/>
  <c r="I19" i="7" s="1"/>
  <c r="O17" i="8"/>
  <c r="C18" i="8"/>
  <c r="C19" i="7" s="1"/>
  <c r="O14" i="8"/>
  <c r="O38" i="8"/>
  <c r="O57" i="8"/>
  <c r="O31" i="8"/>
  <c r="I25" i="7"/>
  <c r="O56" i="8"/>
  <c r="N59" i="8"/>
  <c r="O58" i="8"/>
  <c r="O49" i="8"/>
  <c r="J59" i="8"/>
  <c r="J31" i="7" s="1"/>
  <c r="G59" i="8"/>
  <c r="G21" i="7"/>
  <c r="O21" i="7" s="1"/>
  <c r="H59" i="8"/>
  <c r="D25" i="7"/>
  <c r="L25" i="7"/>
  <c r="L59" i="8"/>
  <c r="L31" i="7" s="1"/>
  <c r="E25" i="7"/>
  <c r="M25" i="7"/>
  <c r="E59" i="8"/>
  <c r="E31" i="7" s="1"/>
  <c r="F59" i="8"/>
  <c r="F31" i="7" s="1"/>
  <c r="F44" i="3"/>
  <c r="D26" i="3"/>
  <c r="D52" i="3"/>
  <c r="I8" i="3"/>
  <c r="H31" i="3"/>
  <c r="I31" i="3" s="1"/>
  <c r="H32" i="3"/>
  <c r="G44" i="3"/>
  <c r="H44" i="3"/>
  <c r="I44" i="3"/>
  <c r="J44" i="3"/>
  <c r="K44" i="3"/>
  <c r="L44" i="3"/>
  <c r="M44" i="3"/>
  <c r="N44" i="3"/>
  <c r="O44" i="3"/>
  <c r="J33" i="3"/>
  <c r="K33" i="3" s="1"/>
  <c r="L33" i="3" s="1"/>
  <c r="M33" i="3" s="1"/>
  <c r="N33" i="3" s="1"/>
  <c r="O33" i="3" s="1"/>
  <c r="O6" i="7" l="1"/>
  <c r="P18" i="17"/>
  <c r="P19" i="17" s="1"/>
  <c r="P23" i="16"/>
  <c r="P24" i="16" s="1"/>
  <c r="P21" i="16"/>
  <c r="C5" i="7"/>
  <c r="C13" i="7" s="1"/>
  <c r="P23" i="15"/>
  <c r="P24" i="15" s="1"/>
  <c r="O25" i="7"/>
  <c r="O19" i="7"/>
  <c r="O15" i="7"/>
  <c r="J8" i="3"/>
  <c r="I9" i="3"/>
  <c r="C50" i="8"/>
  <c r="C26" i="7" s="1"/>
  <c r="D53" i="3"/>
  <c r="C20" i="7"/>
  <c r="O18" i="8"/>
  <c r="G31" i="7"/>
  <c r="H31" i="7"/>
  <c r="N31" i="7"/>
  <c r="D59" i="8"/>
  <c r="O55" i="8"/>
  <c r="I59" i="8"/>
  <c r="M59" i="8"/>
  <c r="K59" i="8"/>
  <c r="I32" i="3"/>
  <c r="J32" i="3" s="1"/>
  <c r="K32" i="3" s="1"/>
  <c r="L32" i="3" s="1"/>
  <c r="M32" i="3" s="1"/>
  <c r="N32" i="3" s="1"/>
  <c r="O32" i="3" s="1"/>
  <c r="E24" i="3"/>
  <c r="E44" i="3" s="1"/>
  <c r="E46" i="3" s="1"/>
  <c r="C60" i="8" l="1"/>
  <c r="D5" i="7"/>
  <c r="D50" i="8"/>
  <c r="D26" i="7" s="1"/>
  <c r="C32" i="7"/>
  <c r="K31" i="7"/>
  <c r="I31" i="7"/>
  <c r="M31" i="7"/>
  <c r="D31" i="7"/>
  <c r="O59" i="8"/>
  <c r="E26" i="3"/>
  <c r="P24" i="3"/>
  <c r="P48" i="3"/>
  <c r="O31" i="7" l="1"/>
  <c r="E30" i="3"/>
  <c r="E49" i="3" s="1"/>
  <c r="C33" i="7"/>
  <c r="C34" i="7" s="1"/>
  <c r="P26" i="3"/>
  <c r="P44" i="3"/>
  <c r="F30" i="3" l="1"/>
  <c r="F49" i="3" s="1"/>
  <c r="E32" i="8" s="1"/>
  <c r="E20" i="7" s="1"/>
  <c r="E51" i="3"/>
  <c r="E47" i="3"/>
  <c r="E50" i="3"/>
  <c r="D32" i="8"/>
  <c r="J9" i="3"/>
  <c r="K8" i="3"/>
  <c r="E52" i="3" l="1"/>
  <c r="E53" i="3" s="1"/>
  <c r="F27" i="3"/>
  <c r="F45" i="3" s="1"/>
  <c r="F46" i="3" s="1"/>
  <c r="E5" i="7" s="1"/>
  <c r="E13" i="7" s="1"/>
  <c r="G30" i="3"/>
  <c r="G49" i="3" s="1"/>
  <c r="F32" i="8" s="1"/>
  <c r="F20" i="7" s="1"/>
  <c r="D13" i="7"/>
  <c r="D20" i="7"/>
  <c r="D41" i="8"/>
  <c r="L8" i="3"/>
  <c r="J31" i="3"/>
  <c r="K9" i="3"/>
  <c r="H30" i="3" l="1"/>
  <c r="G27" i="3"/>
  <c r="D24" i="7"/>
  <c r="D32" i="7" s="1"/>
  <c r="D33" i="7" s="1"/>
  <c r="D60" i="8"/>
  <c r="E50" i="8"/>
  <c r="E26" i="7" s="1"/>
  <c r="K31" i="3"/>
  <c r="L9" i="3"/>
  <c r="M8" i="3"/>
  <c r="D34" i="7" l="1"/>
  <c r="D35" i="7"/>
  <c r="H49" i="3"/>
  <c r="G32" i="8" s="1"/>
  <c r="G20" i="7" s="1"/>
  <c r="H27" i="3"/>
  <c r="H45" i="3" s="1"/>
  <c r="F51" i="3"/>
  <c r="F47" i="3"/>
  <c r="E11" i="7" s="1"/>
  <c r="F50" i="3"/>
  <c r="I30" i="3"/>
  <c r="I49" i="3" s="1"/>
  <c r="H32" i="8" s="1"/>
  <c r="H20" i="7" s="1"/>
  <c r="G45" i="3"/>
  <c r="L31" i="3"/>
  <c r="M9" i="3"/>
  <c r="N8" i="3"/>
  <c r="E41" i="8" l="1"/>
  <c r="E24" i="7" s="1"/>
  <c r="E32" i="7" s="1"/>
  <c r="E33" i="7" s="1"/>
  <c r="H51" i="3"/>
  <c r="E60" i="8"/>
  <c r="I27" i="3"/>
  <c r="I45" i="3" s="1"/>
  <c r="J30" i="3"/>
  <c r="J49" i="3" s="1"/>
  <c r="I32" i="8" s="1"/>
  <c r="I20" i="7" s="1"/>
  <c r="F52" i="3"/>
  <c r="F53" i="3" s="1"/>
  <c r="G50" i="3"/>
  <c r="G47" i="3"/>
  <c r="F11" i="7" s="1"/>
  <c r="G51" i="3"/>
  <c r="M31" i="3"/>
  <c r="N9" i="3"/>
  <c r="O8" i="3"/>
  <c r="P8" i="3" s="1"/>
  <c r="P9" i="3" s="1"/>
  <c r="E34" i="7" l="1"/>
  <c r="H47" i="3"/>
  <c r="G11" i="7" s="1"/>
  <c r="H50" i="3"/>
  <c r="G41" i="8" s="1"/>
  <c r="K30" i="3"/>
  <c r="K49" i="3" s="1"/>
  <c r="J32" i="8" s="1"/>
  <c r="J27" i="3"/>
  <c r="F41" i="8"/>
  <c r="F24" i="7" s="1"/>
  <c r="G52" i="3"/>
  <c r="I47" i="3"/>
  <c r="H11" i="7" s="1"/>
  <c r="I51" i="3"/>
  <c r="I50" i="3"/>
  <c r="N31" i="3"/>
  <c r="O9" i="3"/>
  <c r="H52" i="3" l="1"/>
  <c r="J45" i="3"/>
  <c r="K27" i="3"/>
  <c r="L30" i="3"/>
  <c r="L49" i="3" s="1"/>
  <c r="K32" i="8" s="1"/>
  <c r="K20" i="7" s="1"/>
  <c r="H41" i="8"/>
  <c r="H24" i="7" s="1"/>
  <c r="J20" i="7"/>
  <c r="J51" i="3"/>
  <c r="J50" i="3"/>
  <c r="J47" i="3"/>
  <c r="I11" i="7" s="1"/>
  <c r="I52" i="3"/>
  <c r="G24" i="7"/>
  <c r="O31" i="3"/>
  <c r="Q8" i="3"/>
  <c r="R8" i="3" s="1"/>
  <c r="S8" i="3" s="1"/>
  <c r="D15" i="3" s="1"/>
  <c r="M30" i="3" l="1"/>
  <c r="L27" i="3"/>
  <c r="L45" i="3" s="1"/>
  <c r="K45" i="3"/>
  <c r="I41" i="8"/>
  <c r="I24" i="7" s="1"/>
  <c r="M27" i="3"/>
  <c r="M49" i="3"/>
  <c r="L32" i="8" s="1"/>
  <c r="L20" i="7" s="1"/>
  <c r="K47" i="3"/>
  <c r="J11" i="7" s="1"/>
  <c r="K51" i="3"/>
  <c r="K50" i="3"/>
  <c r="J52" i="3"/>
  <c r="N30" i="3"/>
  <c r="P42" i="3"/>
  <c r="Q9" i="3"/>
  <c r="J41" i="8" l="1"/>
  <c r="J24" i="7" s="1"/>
  <c r="L47" i="3"/>
  <c r="K11" i="7" s="1"/>
  <c r="L51" i="3"/>
  <c r="L50" i="3"/>
  <c r="K41" i="8" s="1"/>
  <c r="K24" i="7" s="1"/>
  <c r="K52" i="3"/>
  <c r="M51" i="3"/>
  <c r="M50" i="3"/>
  <c r="M47" i="3"/>
  <c r="L11" i="7" s="1"/>
  <c r="N27" i="3"/>
  <c r="N49" i="3"/>
  <c r="M32" i="8" s="1"/>
  <c r="M20" i="7" s="1"/>
  <c r="M45" i="3"/>
  <c r="O30" i="3"/>
  <c r="R9" i="3"/>
  <c r="S9" i="3" s="1"/>
  <c r="L41" i="8" l="1"/>
  <c r="L24" i="7" s="1"/>
  <c r="D14" i="3"/>
  <c r="M52" i="3"/>
  <c r="O27" i="3"/>
  <c r="O49" i="3"/>
  <c r="N45" i="3"/>
  <c r="L52" i="3"/>
  <c r="P31" i="3"/>
  <c r="P34" i="3"/>
  <c r="P33" i="3"/>
  <c r="N51" i="3" l="1"/>
  <c r="N47" i="3"/>
  <c r="M11" i="7" s="1"/>
  <c r="N50" i="3"/>
  <c r="O51" i="3"/>
  <c r="O47" i="3"/>
  <c r="N11" i="7" s="1"/>
  <c r="O50" i="3"/>
  <c r="P29" i="3"/>
  <c r="N32" i="8"/>
  <c r="P30" i="3"/>
  <c r="O11" i="7" l="1"/>
  <c r="N41" i="8"/>
  <c r="N24" i="7" s="1"/>
  <c r="O52" i="3"/>
  <c r="M41" i="8"/>
  <c r="M24" i="7" s="1"/>
  <c r="N20" i="7"/>
  <c r="O20" i="7" s="1"/>
  <c r="O32" i="8"/>
  <c r="O12" i="7"/>
  <c r="N52" i="3"/>
  <c r="H46" i="3"/>
  <c r="O41" i="8" l="1"/>
  <c r="O24" i="7"/>
  <c r="H53" i="3"/>
  <c r="G5" i="7"/>
  <c r="G13" i="7" s="1"/>
  <c r="G50" i="8"/>
  <c r="I46" i="3"/>
  <c r="G26" i="7" l="1"/>
  <c r="G32" i="7" s="1"/>
  <c r="G33" i="7" s="1"/>
  <c r="G35" i="7" s="1"/>
  <c r="G60" i="8"/>
  <c r="I53" i="3"/>
  <c r="H5" i="7"/>
  <c r="H13" i="7" s="1"/>
  <c r="H50" i="8"/>
  <c r="P32" i="3"/>
  <c r="G46" i="3"/>
  <c r="H26" i="7" l="1"/>
  <c r="H32" i="7" s="1"/>
  <c r="H33" i="7" s="1"/>
  <c r="H35" i="7" s="1"/>
  <c r="H60" i="8"/>
  <c r="G53" i="3"/>
  <c r="F5" i="7"/>
  <c r="F13" i="7" s="1"/>
  <c r="F50" i="8"/>
  <c r="P35" i="3"/>
  <c r="J46" i="3"/>
  <c r="F26" i="7" l="1"/>
  <c r="F32" i="7" s="1"/>
  <c r="F33" i="7" s="1"/>
  <c r="F60" i="8"/>
  <c r="J53" i="3"/>
  <c r="I50" i="8"/>
  <c r="I5" i="7"/>
  <c r="I13" i="7" s="1"/>
  <c r="P36" i="3"/>
  <c r="K46" i="3"/>
  <c r="G34" i="7" l="1"/>
  <c r="H34" i="7" s="1"/>
  <c r="F34" i="7"/>
  <c r="K53" i="3"/>
  <c r="J5" i="7"/>
  <c r="J13" i="7" s="1"/>
  <c r="J50" i="8"/>
  <c r="I26" i="7"/>
  <c r="I32" i="7" s="1"/>
  <c r="I33" i="7" s="1"/>
  <c r="I35" i="7" s="1"/>
  <c r="I60" i="8"/>
  <c r="P37" i="3"/>
  <c r="L46" i="3"/>
  <c r="L53" i="3" l="1"/>
  <c r="K5" i="7"/>
  <c r="K13" i="7" s="1"/>
  <c r="K50" i="8"/>
  <c r="J26" i="7"/>
  <c r="J32" i="7" s="1"/>
  <c r="J33" i="7" s="1"/>
  <c r="J35" i="7" s="1"/>
  <c r="J60" i="8"/>
  <c r="I34" i="7"/>
  <c r="P38" i="3"/>
  <c r="M46" i="3"/>
  <c r="J34" i="7" l="1"/>
  <c r="K26" i="7"/>
  <c r="K32" i="7" s="1"/>
  <c r="K33" i="7" s="1"/>
  <c r="K35" i="7" s="1"/>
  <c r="K60" i="8"/>
  <c r="M53" i="3"/>
  <c r="L50" i="8"/>
  <c r="L5" i="7"/>
  <c r="L13" i="7" s="1"/>
  <c r="P39" i="3"/>
  <c r="N46" i="3"/>
  <c r="K34" i="7" l="1"/>
  <c r="L26" i="7"/>
  <c r="L32" i="7" s="1"/>
  <c r="L33" i="7" s="1"/>
  <c r="L35" i="7" s="1"/>
  <c r="L60" i="8"/>
  <c r="N53" i="3"/>
  <c r="M5" i="7"/>
  <c r="M13" i="7" s="1"/>
  <c r="M50" i="8"/>
  <c r="P40" i="3"/>
  <c r="L34" i="7" l="1"/>
  <c r="M26" i="7"/>
  <c r="M32" i="7" s="1"/>
  <c r="M33" i="7" s="1"/>
  <c r="M35" i="7" s="1"/>
  <c r="M60" i="8"/>
  <c r="O45" i="3"/>
  <c r="O46" i="3" s="1"/>
  <c r="P50" i="3"/>
  <c r="P51" i="3"/>
  <c r="P49" i="3"/>
  <c r="P41" i="3"/>
  <c r="M34" i="7" l="1"/>
  <c r="O53" i="3"/>
  <c r="N5" i="7"/>
  <c r="N13" i="7" s="1"/>
  <c r="N50" i="8"/>
  <c r="P52" i="3"/>
  <c r="G3" i="3" s="1"/>
  <c r="P47" i="3"/>
  <c r="P27" i="3"/>
  <c r="N26" i="7" l="1"/>
  <c r="O50" i="8"/>
  <c r="N60" i="8"/>
  <c r="O60" i="8" s="1"/>
  <c r="O5" i="7"/>
  <c r="O13" i="7" s="1"/>
  <c r="P45" i="3"/>
  <c r="P53" i="3"/>
  <c r="G4" i="3" s="1"/>
  <c r="P46" i="3"/>
  <c r="G2" i="3" s="1"/>
  <c r="O26" i="7" l="1"/>
  <c r="N32" i="7"/>
  <c r="O32" i="7" s="1"/>
  <c r="O33" i="7" l="1"/>
  <c r="N33" i="7"/>
  <c r="N35" i="7" s="1"/>
  <c r="N34" i="7" l="1"/>
  <c r="O34" i="7" s="1"/>
  <c r="E35" i="7"/>
</calcChain>
</file>

<file path=xl/sharedStrings.xml><?xml version="1.0" encoding="utf-8"?>
<sst xmlns="http://schemas.openxmlformats.org/spreadsheetml/2006/main" count="359" uniqueCount="161">
  <si>
    <t>(B）</t>
    <phoneticPr fontId="2"/>
  </si>
  <si>
    <t>累計</t>
    <rPh sb="0" eb="2">
      <t>ルイケイ</t>
    </rPh>
    <phoneticPr fontId="2"/>
  </si>
  <si>
    <t>商品定価</t>
    <rPh sb="0" eb="2">
      <t>ショウヒン</t>
    </rPh>
    <rPh sb="2" eb="4">
      <t>テイカ</t>
    </rPh>
    <phoneticPr fontId="2"/>
  </si>
  <si>
    <t>CC費用</t>
    <rPh sb="2" eb="4">
      <t>ヒヨウ</t>
    </rPh>
    <phoneticPr fontId="2"/>
  </si>
  <si>
    <t>予備費用</t>
    <rPh sb="0" eb="2">
      <t>ヨビ</t>
    </rPh>
    <rPh sb="2" eb="4">
      <t>ヒヨウ</t>
    </rPh>
    <phoneticPr fontId="2"/>
  </si>
  <si>
    <t>商品原価</t>
    <rPh sb="0" eb="4">
      <t>ショウヒンゲンカ</t>
    </rPh>
    <phoneticPr fontId="2"/>
  </si>
  <si>
    <t>媒体費用</t>
    <rPh sb="0" eb="4">
      <t>バイタイヒヨウ</t>
    </rPh>
    <phoneticPr fontId="2"/>
  </si>
  <si>
    <t>物流費用</t>
    <rPh sb="0" eb="2">
      <t>ブツリュウ</t>
    </rPh>
    <rPh sb="2" eb="4">
      <t>ヒヨウ</t>
    </rPh>
    <phoneticPr fontId="2"/>
  </si>
  <si>
    <t>予備費用</t>
    <rPh sb="0" eb="4">
      <t>ヨビヒヨウ</t>
    </rPh>
    <phoneticPr fontId="2"/>
  </si>
  <si>
    <t>販売価格（定期コース）</t>
    <rPh sb="0" eb="2">
      <t>ハンバイ</t>
    </rPh>
    <rPh sb="2" eb="4">
      <t>カカク</t>
    </rPh>
    <rPh sb="5" eb="7">
      <t>テイキ</t>
    </rPh>
    <phoneticPr fontId="2"/>
  </si>
  <si>
    <t>※税込</t>
    <rPh sb="1" eb="3">
      <t>ゼイコミ</t>
    </rPh>
    <phoneticPr fontId="2"/>
  </si>
  <si>
    <t>商品原価率（定期コース）</t>
    <rPh sb="0" eb="2">
      <t>ショウヒン</t>
    </rPh>
    <rPh sb="2" eb="4">
      <t>ゲンカ</t>
    </rPh>
    <rPh sb="4" eb="5">
      <t>リツ</t>
    </rPh>
    <rPh sb="6" eb="8">
      <t>テイキ</t>
    </rPh>
    <phoneticPr fontId="2"/>
  </si>
  <si>
    <t>CPA（無料体質診断）</t>
    <rPh sb="4" eb="6">
      <t>ムリョウ</t>
    </rPh>
    <rPh sb="6" eb="8">
      <t>タイシツ</t>
    </rPh>
    <rPh sb="8" eb="10">
      <t>シンダン</t>
    </rPh>
    <phoneticPr fontId="2"/>
  </si>
  <si>
    <t>転換率（定期コース）</t>
    <rPh sb="0" eb="3">
      <t>テンカンリツ</t>
    </rPh>
    <rPh sb="4" eb="6">
      <t>テイキ</t>
    </rPh>
    <phoneticPr fontId="2"/>
  </si>
  <si>
    <t>CPO（定期コース）</t>
    <rPh sb="4" eb="6">
      <t>テイキ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</si>
  <si>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</si>
  <si>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</si>
  <si>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2ヵ月目</t>
    <rPh sb="2" eb="3">
      <t>ゲツ</t>
    </rPh>
    <rPh sb="3" eb="4">
      <t>メ</t>
    </rPh>
    <phoneticPr fontId="2"/>
  </si>
  <si>
    <t>3ヵ月目</t>
    <rPh sb="2" eb="3">
      <t>ゲツ</t>
    </rPh>
    <rPh sb="3" eb="4">
      <t>メ</t>
    </rPh>
    <phoneticPr fontId="2"/>
  </si>
  <si>
    <t>残存率</t>
    <rPh sb="0" eb="2">
      <t>ザンゾン</t>
    </rPh>
    <rPh sb="2" eb="3">
      <t>リツ</t>
    </rPh>
    <phoneticPr fontId="2"/>
  </si>
  <si>
    <t>月</t>
    <rPh sb="0" eb="1">
      <t>ツキ</t>
    </rPh>
    <phoneticPr fontId="2"/>
  </si>
  <si>
    <t>1ヵ月目</t>
    <rPh sb="2" eb="3">
      <t>ゲツ</t>
    </rPh>
    <rPh sb="3" eb="4">
      <t>メ</t>
    </rPh>
    <phoneticPr fontId="2"/>
  </si>
  <si>
    <t>合計</t>
    <rPh sb="0" eb="2">
      <t>ゴウケイ</t>
    </rPh>
    <phoneticPr fontId="2"/>
  </si>
  <si>
    <t>LTV</t>
    <phoneticPr fontId="2"/>
  </si>
  <si>
    <t>新規無料体質診断数</t>
    <rPh sb="0" eb="2">
      <t>シンキ</t>
    </rPh>
    <rPh sb="2" eb="4">
      <t>ムリョウ</t>
    </rPh>
    <rPh sb="4" eb="6">
      <t>タイシツ</t>
    </rPh>
    <rPh sb="6" eb="8">
      <t>シンダン</t>
    </rPh>
    <rPh sb="8" eb="9">
      <t>スウ</t>
    </rPh>
    <phoneticPr fontId="2"/>
  </si>
  <si>
    <t>売上高（月間）</t>
    <rPh sb="0" eb="3">
      <t>ウリアゲダカ</t>
    </rPh>
    <rPh sb="4" eb="6">
      <t>ゲッカン</t>
    </rPh>
    <phoneticPr fontId="2"/>
  </si>
  <si>
    <t>経費（月間）</t>
    <rPh sb="0" eb="2">
      <t>ケイヒ</t>
    </rPh>
    <rPh sb="3" eb="5">
      <t>ゲッカン</t>
    </rPh>
    <phoneticPr fontId="2"/>
  </si>
  <si>
    <t>損益（月間）</t>
    <rPh sb="0" eb="2">
      <t>ソンエキ</t>
    </rPh>
    <rPh sb="3" eb="5">
      <t>ゲッカン</t>
    </rPh>
    <phoneticPr fontId="2"/>
  </si>
  <si>
    <t>年間売上</t>
    <rPh sb="0" eb="2">
      <t>ネンカン</t>
    </rPh>
    <rPh sb="2" eb="4">
      <t>ウリアゲ</t>
    </rPh>
    <phoneticPr fontId="2"/>
  </si>
  <si>
    <t>年間経費</t>
    <rPh sb="0" eb="2">
      <t>ネンカン</t>
    </rPh>
    <rPh sb="2" eb="4">
      <t>ケイヒ</t>
    </rPh>
    <phoneticPr fontId="2"/>
  </si>
  <si>
    <t>年間利益</t>
    <rPh sb="0" eb="2">
      <t>ネンカン</t>
    </rPh>
    <rPh sb="2" eb="4">
      <t>リエキ</t>
    </rPh>
    <phoneticPr fontId="2"/>
  </si>
  <si>
    <t>4ヵ月目</t>
    <rPh sb="2" eb="3">
      <t>ゲツ</t>
    </rPh>
    <rPh sb="3" eb="4">
      <t>メ</t>
    </rPh>
    <phoneticPr fontId="2"/>
  </si>
  <si>
    <t>5ヵ月目</t>
    <rPh sb="2" eb="3">
      <t>ゲツ</t>
    </rPh>
    <rPh sb="3" eb="4">
      <t>メ</t>
    </rPh>
    <phoneticPr fontId="2"/>
  </si>
  <si>
    <t>6ヵ月目</t>
    <rPh sb="2" eb="3">
      <t>ゲツ</t>
    </rPh>
    <rPh sb="3" eb="4">
      <t>メ</t>
    </rPh>
    <phoneticPr fontId="2"/>
  </si>
  <si>
    <t>7ヵ月目</t>
    <rPh sb="2" eb="3">
      <t>ゲツ</t>
    </rPh>
    <rPh sb="3" eb="4">
      <t>メ</t>
    </rPh>
    <phoneticPr fontId="2"/>
  </si>
  <si>
    <t>8ヵ月目</t>
    <rPh sb="2" eb="3">
      <t>ゲツ</t>
    </rPh>
    <rPh sb="3" eb="4">
      <t>メ</t>
    </rPh>
    <phoneticPr fontId="2"/>
  </si>
  <si>
    <t>9ヵ月目</t>
    <rPh sb="2" eb="3">
      <t>ゲツ</t>
    </rPh>
    <rPh sb="3" eb="4">
      <t>メ</t>
    </rPh>
    <phoneticPr fontId="2"/>
  </si>
  <si>
    <t>10ヵ月目</t>
    <rPh sb="3" eb="4">
      <t>ゲツ</t>
    </rPh>
    <rPh sb="4" eb="5">
      <t>メ</t>
    </rPh>
    <phoneticPr fontId="2"/>
  </si>
  <si>
    <t>11ヵ月目</t>
    <rPh sb="3" eb="4">
      <t>ゲツ</t>
    </rPh>
    <rPh sb="4" eb="5">
      <t>メ</t>
    </rPh>
    <phoneticPr fontId="2"/>
  </si>
  <si>
    <t>12ヵ月目</t>
    <rPh sb="3" eb="4">
      <t>ゲツ</t>
    </rPh>
    <rPh sb="4" eb="5">
      <t>メ</t>
    </rPh>
    <phoneticPr fontId="2"/>
  </si>
  <si>
    <t>物流・配送費用</t>
    <rPh sb="0" eb="2">
      <t>ブツリュウ</t>
    </rPh>
    <rPh sb="3" eb="5">
      <t>ハイソウ</t>
    </rPh>
    <rPh sb="5" eb="6">
      <t>ヒ</t>
    </rPh>
    <rPh sb="6" eb="7">
      <t>ヨウ</t>
    </rPh>
    <phoneticPr fontId="2"/>
  </si>
  <si>
    <t>商品原価（１ヶ月分）</t>
    <rPh sb="0" eb="2">
      <t>ショウヒン</t>
    </rPh>
    <rPh sb="2" eb="4">
      <t>ゲンカ</t>
    </rPh>
    <phoneticPr fontId="2"/>
  </si>
  <si>
    <t>商品原価率（初回お試し）</t>
    <rPh sb="0" eb="2">
      <t>ショウヒン</t>
    </rPh>
    <rPh sb="2" eb="4">
      <t>ゲンカ</t>
    </rPh>
    <rPh sb="4" eb="5">
      <t>リツ</t>
    </rPh>
    <rPh sb="6" eb="8">
      <t>ショカイ</t>
    </rPh>
    <rPh sb="9" eb="10">
      <t>タメ</t>
    </rPh>
    <phoneticPr fontId="2"/>
  </si>
  <si>
    <t>販売価格（初回お試し）</t>
    <rPh sb="0" eb="2">
      <t>ハンバイ</t>
    </rPh>
    <rPh sb="2" eb="4">
      <t>カカク</t>
    </rPh>
    <rPh sb="5" eb="7">
      <t>ショカイ</t>
    </rPh>
    <rPh sb="8" eb="9">
      <t>タメ</t>
    </rPh>
    <phoneticPr fontId="2"/>
  </si>
  <si>
    <t>初回お試し売上</t>
    <rPh sb="0" eb="2">
      <t>ショカイ</t>
    </rPh>
    <rPh sb="3" eb="4">
      <t>タメ</t>
    </rPh>
    <rPh sb="5" eb="7">
      <t>ウリアゲ</t>
    </rPh>
    <phoneticPr fontId="2"/>
  </si>
  <si>
    <t>転換率（初回お試し）</t>
    <rPh sb="0" eb="3">
      <t>テンカンリツ</t>
    </rPh>
    <rPh sb="4" eb="6">
      <t>ショカイ</t>
    </rPh>
    <rPh sb="7" eb="8">
      <t>タメ</t>
    </rPh>
    <phoneticPr fontId="2"/>
  </si>
  <si>
    <t>CPO（初回お試し）</t>
    <rPh sb="4" eb="6">
      <t>ショカイ</t>
    </rPh>
    <rPh sb="7" eb="8">
      <t>タメ</t>
    </rPh>
    <phoneticPr fontId="2"/>
  </si>
  <si>
    <t>新規初回お試し</t>
    <rPh sb="0" eb="2">
      <t>シンキ</t>
    </rPh>
    <rPh sb="2" eb="4">
      <t>ショカイ</t>
    </rPh>
    <rPh sb="5" eb="6">
      <t>タメ</t>
    </rPh>
    <phoneticPr fontId="2"/>
  </si>
  <si>
    <t>定期コース売上（月次）</t>
    <rPh sb="0" eb="2">
      <t>テイキ</t>
    </rPh>
    <rPh sb="5" eb="7">
      <t>ウリアゲ</t>
    </rPh>
    <rPh sb="8" eb="10">
      <t xml:space="preserve">ゲツジ </t>
    </rPh>
    <phoneticPr fontId="2"/>
  </si>
  <si>
    <t>※お試し定期なので、初回お試しから定期コースへの転換率はイコール</t>
    <rPh sb="4" eb="6">
      <t>テイキ</t>
    </rPh>
    <rPh sb="10" eb="12">
      <t>ショカイ</t>
    </rPh>
    <rPh sb="17" eb="19">
      <t>テイキ</t>
    </rPh>
    <rPh sb="24" eb="27">
      <t>テンカn</t>
    </rPh>
    <phoneticPr fontId="2"/>
  </si>
  <si>
    <t>平均継続月</t>
    <rPh sb="0" eb="2">
      <t>ヘイキン</t>
    </rPh>
    <rPh sb="2" eb="4">
      <t>ケイゾク</t>
    </rPh>
    <rPh sb="4" eb="5">
      <t xml:space="preserve">ツキ </t>
    </rPh>
    <phoneticPr fontId="2"/>
  </si>
  <si>
    <t>※1000ロット</t>
    <phoneticPr fontId="2"/>
  </si>
  <si>
    <t>※18,000円</t>
    <rPh sb="7" eb="8">
      <t>エン</t>
    </rPh>
    <phoneticPr fontId="2"/>
  </si>
  <si>
    <t>※月次定期の20%のコール数</t>
    <rPh sb="1" eb="3">
      <t>ゲツジ</t>
    </rPh>
    <rPh sb="3" eb="5">
      <t>テイキ</t>
    </rPh>
    <rPh sb="13" eb="14">
      <t>スウ</t>
    </rPh>
    <phoneticPr fontId="2"/>
  </si>
  <si>
    <t>総数（月次）</t>
    <rPh sb="0" eb="2">
      <t>ソウスウ</t>
    </rPh>
    <rPh sb="3" eb="5">
      <t>ゲツジ</t>
    </rPh>
    <phoneticPr fontId="2"/>
  </si>
  <si>
    <t>販管費</t>
  </si>
  <si>
    <t>役員報酬</t>
  </si>
  <si>
    <t>事前確定賞与</t>
  </si>
  <si>
    <t>人件費</t>
  </si>
  <si>
    <t>賞与</t>
  </si>
  <si>
    <t>法定福利費</t>
  </si>
  <si>
    <t>広告宣伝費</t>
  </si>
  <si>
    <t>外注費</t>
  </si>
  <si>
    <t>支払報酬費</t>
  </si>
  <si>
    <t>交際費</t>
  </si>
  <si>
    <t>旅費交通費</t>
  </si>
  <si>
    <t>荷造運賃</t>
  </si>
  <si>
    <t>通信費</t>
  </si>
  <si>
    <t>決済手数料</t>
  </si>
  <si>
    <t>光熱費</t>
  </si>
  <si>
    <t>会議費</t>
  </si>
  <si>
    <t>地代家賃</t>
  </si>
  <si>
    <t>雑費</t>
  </si>
  <si>
    <t>減価償却</t>
  </si>
  <si>
    <t>一般管理費</t>
  </si>
  <si>
    <t>営業利益</t>
  </si>
  <si>
    <t>第1期</t>
  </si>
  <si>
    <t>合計</t>
  </si>
  <si>
    <t>累計損益</t>
  </si>
  <si>
    <t>勘定科目</t>
  </si>
  <si>
    <t>内訳</t>
  </si>
  <si>
    <t>年計</t>
  </si>
  <si>
    <t>小計</t>
  </si>
  <si>
    <t>会社設立</t>
  </si>
  <si>
    <t>総合計</t>
  </si>
  <si>
    <t>依田</t>
    <rPh sb="0" eb="2">
      <t>ヨダ</t>
    </rPh>
    <phoneticPr fontId="2"/>
  </si>
  <si>
    <t>松本</t>
    <phoneticPr fontId="2"/>
  </si>
  <si>
    <r>
      <t>Google</t>
    </r>
    <r>
      <rPr>
        <sz val="11"/>
        <color theme="1"/>
        <rFont val="ＭＳ Ｐゴシック"/>
        <family val="2"/>
        <charset val="128"/>
      </rPr>
      <t>・</t>
    </r>
    <r>
      <rPr>
        <sz val="11"/>
        <color theme="1"/>
        <rFont val="Calibri"/>
        <family val="2"/>
      </rPr>
      <t>Yahoo</t>
    </r>
    <r>
      <rPr>
        <sz val="11"/>
        <color theme="1"/>
        <rFont val="ＭＳ Ｐゴシック"/>
        <family val="2"/>
        <charset val="128"/>
      </rPr>
      <t>・</t>
    </r>
    <r>
      <rPr>
        <sz val="11"/>
        <color theme="1"/>
        <rFont val="Calibri"/>
        <family val="2"/>
      </rPr>
      <t>Facebook</t>
    </r>
    <r>
      <rPr>
        <sz val="11"/>
        <color theme="1"/>
        <rFont val="ＭＳ Ｐゴシック"/>
        <family val="2"/>
        <charset val="128"/>
      </rPr>
      <t>全般</t>
    </r>
    <rPh sb="21" eb="23">
      <t>ゼンパン</t>
    </rPh>
    <phoneticPr fontId="2"/>
  </si>
  <si>
    <t>広告運用代行（広告費15%）</t>
    <rPh sb="0" eb="2">
      <t>コウコク</t>
    </rPh>
    <rPh sb="2" eb="4">
      <t>ウンヨウ</t>
    </rPh>
    <rPh sb="4" eb="6">
      <t>ダイコウ</t>
    </rPh>
    <rPh sb="7" eb="10">
      <t>コウコクヒ</t>
    </rPh>
    <phoneticPr fontId="2"/>
  </si>
  <si>
    <t>コールセンター代行</t>
    <rPh sb="7" eb="9">
      <t>ダイコウ</t>
    </rPh>
    <phoneticPr fontId="2"/>
  </si>
  <si>
    <t>サーバー・ドメイン</t>
    <phoneticPr fontId="2"/>
  </si>
  <si>
    <t>顧客管理システム</t>
    <rPh sb="0" eb="2">
      <t>コキャク</t>
    </rPh>
    <rPh sb="2" eb="4">
      <t>カンリ</t>
    </rPh>
    <phoneticPr fontId="2"/>
  </si>
  <si>
    <t>固定電話・フリーダイアル</t>
    <phoneticPr fontId="2"/>
  </si>
  <si>
    <t>社労士</t>
    <rPh sb="0" eb="3">
      <t>シャロウシ</t>
    </rPh>
    <phoneticPr fontId="2"/>
  </si>
  <si>
    <t>税理士（ベンチャーサポート）</t>
    <phoneticPr fontId="2"/>
  </si>
  <si>
    <t>荷造運賃</t>
    <phoneticPr fontId="2"/>
  </si>
  <si>
    <t>Amazon運用代行</t>
    <rPh sb="6" eb="8">
      <t>ウンヨウ</t>
    </rPh>
    <rPh sb="8" eb="10">
      <t>ダイコウ</t>
    </rPh>
    <phoneticPr fontId="2"/>
  </si>
  <si>
    <t>通信費</t>
    <rPh sb="0" eb="1">
      <t>ツウシn</t>
    </rPh>
    <phoneticPr fontId="2"/>
  </si>
  <si>
    <t>電話番号管理費</t>
    <rPh sb="0" eb="2">
      <t>デンワ</t>
    </rPh>
    <rPh sb="2" eb="4">
      <t>バンゴウ</t>
    </rPh>
    <rPh sb="4" eb="6">
      <t>カンリヒ</t>
    </rPh>
    <rPh sb="6" eb="7">
      <t>ヒヨウ</t>
    </rPh>
    <phoneticPr fontId="2"/>
  </si>
  <si>
    <t>CC基本料金</t>
    <rPh sb="2" eb="6">
      <t>キホn</t>
    </rPh>
    <phoneticPr fontId="2"/>
  </si>
  <si>
    <t>メルマガシステム</t>
    <phoneticPr fontId="2"/>
  </si>
  <si>
    <t>Lステップ</t>
    <phoneticPr fontId="2"/>
  </si>
  <si>
    <t>ペイジェント基本料</t>
    <rPh sb="6" eb="9">
      <t>キホn</t>
    </rPh>
    <phoneticPr fontId="2"/>
  </si>
  <si>
    <t>雑費</t>
    <phoneticPr fontId="2"/>
  </si>
  <si>
    <t>その他</t>
    <phoneticPr fontId="2"/>
  </si>
  <si>
    <t>売上高
（A）</t>
    <phoneticPr fontId="2"/>
  </si>
  <si>
    <t>売上高総利益(A-B)</t>
    <rPh sb="3" eb="6">
      <t>ソウリエキ</t>
    </rPh>
    <phoneticPr fontId="2"/>
  </si>
  <si>
    <t>Amazon（モール）</t>
    <phoneticPr fontId="2"/>
  </si>
  <si>
    <t>販売価格</t>
    <rPh sb="0" eb="2">
      <t>ハンバイ</t>
    </rPh>
    <rPh sb="2" eb="4">
      <t>カカク</t>
    </rPh>
    <phoneticPr fontId="2"/>
  </si>
  <si>
    <t>商品原価</t>
    <rPh sb="0" eb="2">
      <t>ショウヒn</t>
    </rPh>
    <rPh sb="2" eb="4">
      <t>ゲンカ</t>
    </rPh>
    <phoneticPr fontId="2"/>
  </si>
  <si>
    <t>商品原価率</t>
    <rPh sb="0" eb="1">
      <t>ショウヒn</t>
    </rPh>
    <phoneticPr fontId="2"/>
  </si>
  <si>
    <t>出品サービス手数料</t>
    <rPh sb="0" eb="2">
      <t>シュッピn</t>
    </rPh>
    <rPh sb="6" eb="9">
      <t>テスウ</t>
    </rPh>
    <phoneticPr fontId="2"/>
  </si>
  <si>
    <t>FBA手数料</t>
    <rPh sb="3" eb="6">
      <t>テスウ</t>
    </rPh>
    <phoneticPr fontId="2"/>
  </si>
  <si>
    <t>純利益</t>
    <rPh sb="0" eb="3">
      <t>ジュn</t>
    </rPh>
    <phoneticPr fontId="2"/>
  </si>
  <si>
    <t>純利益率</t>
    <rPh sb="0" eb="1">
      <t>ジュn</t>
    </rPh>
    <phoneticPr fontId="2"/>
  </si>
  <si>
    <t>・月額保管手数料（A）</t>
    <rPh sb="1" eb="3">
      <t>ゲテゥ</t>
    </rPh>
    <rPh sb="3" eb="8">
      <t>ホカn</t>
    </rPh>
    <phoneticPr fontId="2"/>
  </si>
  <si>
    <t>・在庫数(B)</t>
    <rPh sb="1" eb="2">
      <t>ザイコ</t>
    </rPh>
    <phoneticPr fontId="2"/>
  </si>
  <si>
    <t>※在庫数によって変動</t>
    <rPh sb="1" eb="4">
      <t>ザイコ</t>
    </rPh>
    <rPh sb="8" eb="10">
      <t>ヘンドウ</t>
    </rPh>
    <phoneticPr fontId="2"/>
  </si>
  <si>
    <t>4月</t>
    <phoneticPr fontId="2"/>
  </si>
  <si>
    <t>5月</t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</si>
  <si>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</si>
  <si>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</si>
  <si>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</si>
  <si>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</si>
  <si>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</si>
  <si>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</si>
  <si>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</si>
  <si>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</si>
  <si>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</si>
  <si>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</si>
  <si>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売上高</t>
    <rPh sb="0" eb="2">
      <t>ウリアゲ</t>
    </rPh>
    <rPh sb="2" eb="3">
      <t>ダカ</t>
    </rPh>
    <phoneticPr fontId="2"/>
  </si>
  <si>
    <t>媒体費用</t>
    <rPh sb="0" eb="2">
      <t>バイタイ</t>
    </rPh>
    <rPh sb="2" eb="4">
      <t xml:space="preserve">ヒヨウ </t>
    </rPh>
    <phoneticPr fontId="2"/>
  </si>
  <si>
    <t>利益</t>
    <rPh sb="0" eb="2">
      <t>リエキ</t>
    </rPh>
    <phoneticPr fontId="2"/>
  </si>
  <si>
    <t>通販（自社販売）</t>
    <rPh sb="0" eb="2">
      <t>ツウハn</t>
    </rPh>
    <rPh sb="3" eb="5">
      <t>ジセィア</t>
    </rPh>
    <rPh sb="5" eb="7">
      <t>ハンバイ</t>
    </rPh>
    <phoneticPr fontId="2"/>
  </si>
  <si>
    <t>自己資金</t>
    <rPh sb="0" eb="2">
      <t>ジコ</t>
    </rPh>
    <rPh sb="2" eb="4">
      <t>シキn</t>
    </rPh>
    <phoneticPr fontId="2"/>
  </si>
  <si>
    <t>(ROAS)</t>
    <phoneticPr fontId="2"/>
  </si>
  <si>
    <t>(ROI)</t>
    <phoneticPr fontId="2"/>
  </si>
  <si>
    <t>商品原価</t>
    <rPh sb="0" eb="4">
      <t>ショウヒn</t>
    </rPh>
    <phoneticPr fontId="2"/>
  </si>
  <si>
    <t>B</t>
    <phoneticPr fontId="2"/>
  </si>
  <si>
    <t>月間在庫保管手数料(A-B)</t>
    <rPh sb="0" eb="2">
      <t>ゲッカn</t>
    </rPh>
    <rPh sb="2" eb="4">
      <t>ザイコ</t>
    </rPh>
    <rPh sb="4" eb="9">
      <t>ホカ</t>
    </rPh>
    <phoneticPr fontId="2"/>
  </si>
  <si>
    <t>FBA保管量</t>
    <rPh sb="3" eb="6">
      <t>ホカn</t>
    </rPh>
    <phoneticPr fontId="2"/>
  </si>
  <si>
    <t>商品原価
（B）</t>
    <rPh sb="0" eb="4">
      <t>ショウヒn</t>
    </rPh>
    <phoneticPr fontId="2"/>
  </si>
  <si>
    <t>LP修正・クリエイティブ予算</t>
    <rPh sb="2" eb="4">
      <t>シュウセイ</t>
    </rPh>
    <phoneticPr fontId="2"/>
  </si>
  <si>
    <t>講座・プログラム等</t>
    <rPh sb="0" eb="2">
      <t>コウザ</t>
    </rPh>
    <rPh sb="8" eb="9">
      <t>トウ</t>
    </rPh>
    <phoneticPr fontId="2"/>
  </si>
  <si>
    <t>代理店</t>
    <rPh sb="0" eb="3">
      <t>ダイリ</t>
    </rPh>
    <phoneticPr fontId="2"/>
  </si>
  <si>
    <t>めぐりこまち</t>
    <phoneticPr fontId="2"/>
  </si>
  <si>
    <t>商品名：めぐりこまち</t>
    <rPh sb="0" eb="3">
      <t>ショウヒn</t>
    </rPh>
    <phoneticPr fontId="2"/>
  </si>
  <si>
    <t>商品名：薬膳おからクッキー</t>
    <rPh sb="0" eb="3">
      <t>ショウヒn</t>
    </rPh>
    <rPh sb="4" eb="6">
      <t>ヤクゼn</t>
    </rPh>
    <phoneticPr fontId="2"/>
  </si>
  <si>
    <t>商品名：薬膳火鍋スープ</t>
    <rPh sb="0" eb="3">
      <t>ショウヒn</t>
    </rPh>
    <rPh sb="4" eb="6">
      <t>ヤクゼn</t>
    </rPh>
    <rPh sb="6" eb="8">
      <t>ヒナベ</t>
    </rPh>
    <phoneticPr fontId="2"/>
  </si>
  <si>
    <t>薬膳おからクッキー</t>
    <rPh sb="0" eb="2">
      <t>ヤクゼn</t>
    </rPh>
    <phoneticPr fontId="2"/>
  </si>
  <si>
    <t>薬膳火鍋スープ</t>
    <rPh sb="0" eb="1">
      <t>ヤクゼn</t>
    </rPh>
    <rPh sb="2" eb="4">
      <t>ヒナベ</t>
    </rPh>
    <phoneticPr fontId="2"/>
  </si>
  <si>
    <t>(B)FBA手数料</t>
    <rPh sb="6" eb="9">
      <t>テスウ</t>
    </rPh>
    <phoneticPr fontId="2"/>
  </si>
  <si>
    <t>(A)出品サービス手数料</t>
    <rPh sb="3" eb="5">
      <t>シュッピn</t>
    </rPh>
    <rPh sb="9" eb="12">
      <t>テスウ</t>
    </rPh>
    <phoneticPr fontId="2"/>
  </si>
  <si>
    <t>手数料(A＋B)</t>
    <rPh sb="0" eb="3">
      <t>テスウ</t>
    </rPh>
    <phoneticPr fontId="2"/>
  </si>
  <si>
    <t>セールモンスター（モール）</t>
    <phoneticPr fontId="2"/>
  </si>
  <si>
    <t>セット購入率</t>
    <rPh sb="3" eb="5">
      <t>コウニュウ</t>
    </rPh>
    <rPh sb="5" eb="6">
      <t xml:space="preserve">リツ </t>
    </rPh>
    <phoneticPr fontId="2"/>
  </si>
  <si>
    <t>代理店</t>
    <rPh sb="0" eb="1">
      <t>ダイリ</t>
    </rPh>
    <phoneticPr fontId="2"/>
  </si>
  <si>
    <t>お茶定期コース（月次）</t>
    <rPh sb="2" eb="4">
      <t>テイキ</t>
    </rPh>
    <rPh sb="8" eb="10">
      <t>ゲテゥ</t>
    </rPh>
    <phoneticPr fontId="2"/>
  </si>
  <si>
    <t>セット定期コース（月次）</t>
    <rPh sb="3" eb="5">
      <t xml:space="preserve">テイキ </t>
    </rPh>
    <rPh sb="9" eb="11">
      <t>ゲテゥ</t>
    </rPh>
    <phoneticPr fontId="2"/>
  </si>
  <si>
    <t>新規お茶定期コース</t>
    <rPh sb="0" eb="2">
      <t>シンキ</t>
    </rPh>
    <rPh sb="4" eb="6">
      <t>テイキ</t>
    </rPh>
    <phoneticPr fontId="2"/>
  </si>
  <si>
    <t>新規セット定期コース</t>
    <rPh sb="0" eb="2">
      <t>シンキ</t>
    </rPh>
    <rPh sb="5" eb="7">
      <t>テイキ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</si>
</sst>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;[Red]\-#,##0\ "/>
    <numFmt numFmtId="177" formatCode="yyyy&quot;/&quot;mm"/>
    <numFmt numFmtId="178" formatCode="[$¥-411]#,##0"/>
    <numFmt numFmtId="179" formatCode="&quot;¥&quot;#,##0_);[Red]\(&quot;¥&quot;#,##0\)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1"/>
      <color theme="1"/>
      <name val="ＭＳ ゴシック"/>
      <family val="3"/>
      <charset val="128"/>
    </font>
    <font>
      <sz val="11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/>
      <name val="MS Gothic"/>
      <family val="2"/>
      <charset val="128"/>
    </font>
    <font>
      <b/>
      <sz val="11"/>
      <color theme="1"/>
      <name val="MS Gothic"/>
      <family val="2"/>
      <charset val="128"/>
    </font>
    <font>
      <sz val="11"/>
      <name val="MS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/>
  </cellStyleXfs>
  <cellXfs count="15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38" fontId="0" fillId="0" borderId="1" xfId="1" applyFont="1" applyFill="1" applyBorder="1">
      <alignment vertical="center"/>
    </xf>
    <xf numFmtId="9" fontId="0" fillId="0" borderId="1" xfId="2" applyFont="1" applyFill="1" applyBorder="1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0" fillId="0" borderId="5" xfId="1" applyFont="1" applyFill="1" applyBorder="1">
      <alignment vertical="center"/>
    </xf>
    <xf numFmtId="38" fontId="0" fillId="0" borderId="3" xfId="1" applyFont="1" applyFill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10" fontId="0" fillId="0" borderId="1" xfId="2" applyNumberFormat="1" applyFont="1" applyFill="1" applyBorder="1">
      <alignment vertical="center"/>
    </xf>
    <xf numFmtId="40" fontId="0" fillId="0" borderId="1" xfId="1" applyNumberFormat="1" applyFont="1" applyFill="1" applyBorder="1">
      <alignment vertical="center"/>
    </xf>
    <xf numFmtId="6" fontId="0" fillId="0" borderId="1" xfId="0" applyNumberFormat="1" applyBorder="1">
      <alignment vertical="center"/>
    </xf>
    <xf numFmtId="0" fontId="8" fillId="0" borderId="0" xfId="0" applyFont="1">
      <alignment vertical="center"/>
    </xf>
    <xf numFmtId="38" fontId="8" fillId="0" borderId="5" xfId="1" applyFont="1" applyFill="1" applyBorder="1">
      <alignment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38" fontId="0" fillId="2" borderId="1" xfId="1" applyFont="1" applyFill="1" applyBorder="1">
      <alignment vertical="center"/>
    </xf>
    <xf numFmtId="10" fontId="0" fillId="2" borderId="1" xfId="2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6" fontId="0" fillId="0" borderId="0" xfId="3" applyFont="1" applyFill="1" applyBorder="1" applyAlignment="1">
      <alignment vertical="center"/>
    </xf>
    <xf numFmtId="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38" fontId="8" fillId="0" borderId="10" xfId="1" applyFont="1" applyFill="1" applyBorder="1" applyAlignment="1">
      <alignment vertical="center"/>
    </xf>
    <xf numFmtId="0" fontId="0" fillId="0" borderId="15" xfId="0" applyBorder="1">
      <alignment vertical="center"/>
    </xf>
    <xf numFmtId="38" fontId="0" fillId="0" borderId="10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0" fillId="0" borderId="11" xfId="1" applyFont="1" applyFill="1" applyBorder="1" applyAlignment="1">
      <alignment vertical="center"/>
    </xf>
    <xf numFmtId="38" fontId="0" fillId="0" borderId="12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9" fontId="0" fillId="0" borderId="1" xfId="2" applyFont="1" applyFill="1" applyBorder="1" applyAlignment="1">
      <alignment vertical="center"/>
    </xf>
    <xf numFmtId="6" fontId="0" fillId="0" borderId="1" xfId="3" applyFont="1" applyFill="1" applyBorder="1" applyAlignment="1">
      <alignment vertical="center"/>
    </xf>
    <xf numFmtId="0" fontId="0" fillId="0" borderId="16" xfId="0" applyBorder="1">
      <alignment vertical="center"/>
    </xf>
    <xf numFmtId="0" fontId="10" fillId="0" borderId="0" xfId="0" applyFont="1">
      <alignment vertical="center"/>
    </xf>
    <xf numFmtId="55" fontId="4" fillId="0" borderId="8" xfId="0" applyNumberFormat="1" applyFont="1" applyBorder="1">
      <alignment vertical="center"/>
    </xf>
    <xf numFmtId="0" fontId="12" fillId="0" borderId="0" xfId="4" applyAlignment="1">
      <alignment vertical="center"/>
    </xf>
    <xf numFmtId="176" fontId="15" fillId="0" borderId="20" xfId="4" applyNumberFormat="1" applyFont="1" applyBorder="1" applyAlignment="1">
      <alignment vertical="center"/>
    </xf>
    <xf numFmtId="176" fontId="15" fillId="0" borderId="21" xfId="4" applyNumberFormat="1" applyFont="1" applyBorder="1" applyAlignment="1">
      <alignment vertical="center"/>
    </xf>
    <xf numFmtId="0" fontId="15" fillId="0" borderId="20" xfId="4" applyFont="1" applyBorder="1" applyAlignment="1">
      <alignment horizontal="left" vertical="center"/>
    </xf>
    <xf numFmtId="0" fontId="15" fillId="0" borderId="20" xfId="4" applyFont="1" applyBorder="1" applyAlignment="1">
      <alignment vertical="center"/>
    </xf>
    <xf numFmtId="0" fontId="17" fillId="0" borderId="20" xfId="4" applyFont="1" applyBorder="1" applyAlignment="1">
      <alignment vertical="center"/>
    </xf>
    <xf numFmtId="0" fontId="15" fillId="0" borderId="0" xfId="4" applyFont="1" applyAlignment="1">
      <alignment vertical="center"/>
    </xf>
    <xf numFmtId="177" fontId="13" fillId="0" borderId="18" xfId="4" applyNumberFormat="1" applyFont="1" applyBorder="1" applyAlignment="1">
      <alignment horizontal="center" vertical="center"/>
    </xf>
    <xf numFmtId="177" fontId="15" fillId="0" borderId="0" xfId="4" applyNumberFormat="1" applyFont="1" applyAlignment="1">
      <alignment vertical="center"/>
    </xf>
    <xf numFmtId="176" fontId="13" fillId="0" borderId="21" xfId="4" applyNumberFormat="1" applyFont="1" applyBorder="1" applyAlignment="1">
      <alignment vertical="center"/>
    </xf>
    <xf numFmtId="176" fontId="13" fillId="0" borderId="20" xfId="4" applyNumberFormat="1" applyFont="1" applyBorder="1" applyAlignment="1">
      <alignment vertical="center"/>
    </xf>
    <xf numFmtId="176" fontId="19" fillId="0" borderId="20" xfId="4" applyNumberFormat="1" applyFont="1" applyBorder="1" applyAlignment="1">
      <alignment vertical="center"/>
    </xf>
    <xf numFmtId="0" fontId="20" fillId="0" borderId="20" xfId="4" applyFont="1" applyBorder="1" applyAlignment="1">
      <alignment vertical="center"/>
    </xf>
    <xf numFmtId="3" fontId="15" fillId="0" borderId="0" xfId="4" applyNumberFormat="1" applyFont="1" applyAlignment="1">
      <alignment vertical="center"/>
    </xf>
    <xf numFmtId="0" fontId="12" fillId="3" borderId="0" xfId="4" applyFill="1" applyAlignment="1">
      <alignment vertical="center"/>
    </xf>
    <xf numFmtId="0" fontId="13" fillId="0" borderId="22" xfId="4" applyFont="1" applyBorder="1" applyAlignment="1">
      <alignment horizontal="center" vertical="center"/>
    </xf>
    <xf numFmtId="0" fontId="21" fillId="0" borderId="22" xfId="4" applyFont="1" applyBorder="1" applyAlignment="1">
      <alignment horizontal="center" vertical="center"/>
    </xf>
    <xf numFmtId="0" fontId="13" fillId="0" borderId="20" xfId="4" applyFont="1" applyBorder="1" applyAlignment="1">
      <alignment horizontal="center" vertical="center"/>
    </xf>
    <xf numFmtId="0" fontId="17" fillId="0" borderId="0" xfId="4" applyFont="1" applyAlignment="1">
      <alignment vertical="center"/>
    </xf>
    <xf numFmtId="178" fontId="15" fillId="0" borderId="20" xfId="4" applyNumberFormat="1" applyFont="1" applyBorder="1" applyAlignment="1">
      <alignment horizontal="right" vertical="center"/>
    </xf>
    <xf numFmtId="178" fontId="15" fillId="0" borderId="20" xfId="4" applyNumberFormat="1" applyFont="1" applyBorder="1" applyAlignment="1">
      <alignment vertical="center"/>
    </xf>
    <xf numFmtId="179" fontId="12" fillId="0" borderId="0" xfId="4" applyNumberFormat="1" applyAlignment="1">
      <alignment vertical="center"/>
    </xf>
    <xf numFmtId="0" fontId="13" fillId="4" borderId="20" xfId="4" applyFont="1" applyFill="1" applyBorder="1" applyAlignment="1">
      <alignment vertical="center"/>
    </xf>
    <xf numFmtId="178" fontId="13" fillId="4" borderId="20" xfId="4" applyNumberFormat="1" applyFont="1" applyFill="1" applyBorder="1" applyAlignment="1">
      <alignment horizontal="right" vertical="center"/>
    </xf>
    <xf numFmtId="178" fontId="13" fillId="4" borderId="20" xfId="4" applyNumberFormat="1" applyFont="1" applyFill="1" applyBorder="1" applyAlignment="1">
      <alignment vertical="center"/>
    </xf>
    <xf numFmtId="0" fontId="12" fillId="4" borderId="0" xfId="4" applyFill="1" applyAlignment="1">
      <alignment vertical="center"/>
    </xf>
    <xf numFmtId="0" fontId="12" fillId="0" borderId="20" xfId="4" applyBorder="1" applyAlignment="1">
      <alignment vertical="center"/>
    </xf>
    <xf numFmtId="0" fontId="18" fillId="4" borderId="20" xfId="4" applyFont="1" applyFill="1" applyBorder="1" applyAlignment="1">
      <alignment vertical="center"/>
    </xf>
    <xf numFmtId="0" fontId="16" fillId="0" borderId="20" xfId="4" applyFont="1" applyBorder="1" applyAlignment="1">
      <alignment vertical="center"/>
    </xf>
    <xf numFmtId="0" fontId="13" fillId="5" borderId="20" xfId="4" applyFont="1" applyFill="1" applyBorder="1" applyAlignment="1">
      <alignment vertical="center"/>
    </xf>
    <xf numFmtId="178" fontId="13" fillId="5" borderId="20" xfId="4" applyNumberFormat="1" applyFont="1" applyFill="1" applyBorder="1" applyAlignment="1">
      <alignment vertical="center"/>
    </xf>
    <xf numFmtId="179" fontId="15" fillId="0" borderId="0" xfId="4" applyNumberFormat="1" applyFont="1" applyAlignment="1">
      <alignment vertical="center"/>
    </xf>
    <xf numFmtId="0" fontId="11" fillId="0" borderId="20" xfId="4" applyFont="1" applyBorder="1" applyAlignment="1">
      <alignment vertical="center"/>
    </xf>
    <xf numFmtId="0" fontId="22" fillId="0" borderId="20" xfId="4" applyFont="1" applyBorder="1" applyAlignment="1">
      <alignment vertical="center"/>
    </xf>
    <xf numFmtId="0" fontId="23" fillId="4" borderId="20" xfId="4" applyFont="1" applyFill="1" applyBorder="1" applyAlignment="1">
      <alignment vertical="center"/>
    </xf>
    <xf numFmtId="0" fontId="14" fillId="0" borderId="1" xfId="4" applyFont="1" applyBorder="1" applyAlignment="1">
      <alignment horizontal="center" vertical="center"/>
    </xf>
    <xf numFmtId="177" fontId="13" fillId="0" borderId="1" xfId="4" applyNumberFormat="1" applyFont="1" applyBorder="1" applyAlignment="1">
      <alignment horizontal="center" vertical="center"/>
    </xf>
    <xf numFmtId="176" fontId="15" fillId="0" borderId="1" xfId="4" applyNumberFormat="1" applyFont="1" applyBorder="1" applyAlignment="1">
      <alignment vertical="center"/>
    </xf>
    <xf numFmtId="176" fontId="13" fillId="0" borderId="1" xfId="4" applyNumberFormat="1" applyFont="1" applyBorder="1" applyAlignment="1">
      <alignment vertical="center"/>
    </xf>
    <xf numFmtId="0" fontId="22" fillId="0" borderId="0" xfId="4" applyFont="1" applyAlignment="1">
      <alignment vertical="center"/>
    </xf>
    <xf numFmtId="9" fontId="0" fillId="0" borderId="1" xfId="2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0" fontId="24" fillId="0" borderId="1" xfId="4" applyFont="1" applyBorder="1" applyAlignment="1">
      <alignment horizontal="center" vertical="center"/>
    </xf>
    <xf numFmtId="176" fontId="15" fillId="0" borderId="22" xfId="4" applyNumberFormat="1" applyFont="1" applyBorder="1" applyAlignment="1">
      <alignment vertical="center"/>
    </xf>
    <xf numFmtId="176" fontId="13" fillId="0" borderId="22" xfId="4" applyNumberFormat="1" applyFont="1" applyBorder="1" applyAlignment="1">
      <alignment vertical="center"/>
    </xf>
    <xf numFmtId="38" fontId="12" fillId="0" borderId="1" xfId="1" applyFont="1" applyBorder="1" applyAlignment="1">
      <alignment vertical="center"/>
    </xf>
    <xf numFmtId="38" fontId="0" fillId="0" borderId="1" xfId="1" applyFont="1" applyBorder="1">
      <alignment vertical="center"/>
    </xf>
    <xf numFmtId="38" fontId="0" fillId="0" borderId="29" xfId="1" applyFont="1" applyBorder="1">
      <alignment vertical="center"/>
    </xf>
    <xf numFmtId="0" fontId="22" fillId="0" borderId="1" xfId="4" applyFont="1" applyBorder="1" applyAlignment="1">
      <alignment horizontal="center" vertical="center"/>
    </xf>
    <xf numFmtId="0" fontId="12" fillId="0" borderId="1" xfId="4" applyBorder="1" applyAlignment="1">
      <alignment horizontal="center" vertical="center"/>
    </xf>
    <xf numFmtId="0" fontId="15" fillId="0" borderId="18" xfId="4" applyFont="1" applyBorder="1" applyAlignment="1">
      <alignment horizontal="center" vertical="center"/>
    </xf>
    <xf numFmtId="0" fontId="14" fillId="0" borderId="19" xfId="4" applyFont="1" applyBorder="1" applyAlignment="1">
      <alignment vertical="center"/>
    </xf>
    <xf numFmtId="0" fontId="15" fillId="0" borderId="17" xfId="4" applyFont="1" applyBorder="1" applyAlignment="1">
      <alignment horizontal="center" vertical="center"/>
    </xf>
    <xf numFmtId="0" fontId="14" fillId="0" borderId="27" xfId="4" applyFont="1" applyBorder="1" applyAlignment="1">
      <alignment vertical="center"/>
    </xf>
    <xf numFmtId="177" fontId="18" fillId="0" borderId="1" xfId="4" applyNumberFormat="1" applyFont="1" applyBorder="1" applyAlignment="1">
      <alignment horizontal="center" vertical="center"/>
    </xf>
    <xf numFmtId="0" fontId="14" fillId="0" borderId="1" xfId="4" applyFont="1" applyBorder="1" applyAlignment="1">
      <alignment vertical="center"/>
    </xf>
    <xf numFmtId="0" fontId="16" fillId="6" borderId="23" xfId="4" applyFont="1" applyFill="1" applyBorder="1" applyAlignment="1">
      <alignment horizontal="center" vertical="center"/>
    </xf>
    <xf numFmtId="0" fontId="14" fillId="6" borderId="24" xfId="4" applyFont="1" applyFill="1" applyBorder="1" applyAlignment="1">
      <alignment vertical="center"/>
    </xf>
    <xf numFmtId="0" fontId="14" fillId="0" borderId="25" xfId="4" applyFont="1" applyBorder="1" applyAlignment="1">
      <alignment vertical="center"/>
    </xf>
    <xf numFmtId="0" fontId="14" fillId="0" borderId="23" xfId="4" applyFont="1" applyBorder="1" applyAlignment="1">
      <alignment vertical="center"/>
    </xf>
    <xf numFmtId="0" fontId="22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2" fillId="0" borderId="0" xfId="4" applyAlignment="1">
      <alignment vertical="center"/>
    </xf>
    <xf numFmtId="0" fontId="14" fillId="0" borderId="26" xfId="4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6" fontId="8" fillId="0" borderId="1" xfId="3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9" fontId="0" fillId="0" borderId="0" xfId="2" applyFont="1" applyBorder="1">
      <alignment vertical="center"/>
    </xf>
    <xf numFmtId="0" fontId="0" fillId="0" borderId="30" xfId="0" applyBorder="1" applyAlignment="1">
      <alignment horizontal="left" vertical="center"/>
    </xf>
    <xf numFmtId="0" fontId="0" fillId="0" borderId="3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6" fillId="0" borderId="31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9" fontId="0" fillId="6" borderId="1" xfId="2" applyFont="1" applyFill="1" applyBorder="1">
      <alignment vertical="center"/>
    </xf>
    <xf numFmtId="0" fontId="5" fillId="0" borderId="34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34" xfId="0" applyBorder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</cellXfs>
  <cellStyles count="5">
    <cellStyle name="パーセント" xfId="2" builtinId="5"/>
    <cellStyle name="桁区切り" xfId="1" builtinId="6"/>
    <cellStyle name="通貨" xfId="3" builtinId="7"/>
    <cellStyle name="標準" xfId="0" builtinId="0"/>
    <cellStyle name="標準 2" xfId="4" xr:uid="{192A3941-8E3A-4293-AD74-4EEF5D85E944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368;&#20302;&#12521;&#12452;&#12531;&#65289;&#65297;&#26399;&#30446;&#35336;&#300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PL計画表（第1期）"/>
      <sheetName val="月別販管費計画表（第1期）"/>
      <sheetName val="シミュレーション表（1年目） "/>
      <sheetName val="Amazon"/>
    </sheetNames>
    <sheetDataSet>
      <sheetData sheetId="0"/>
      <sheetData sheetId="1"/>
      <sheetData sheetId="2">
        <row r="46">
          <cell r="D46">
            <v>0</v>
          </cell>
          <cell r="E46">
            <v>0</v>
          </cell>
          <cell r="F46">
            <v>10200</v>
          </cell>
          <cell r="G46">
            <v>13260</v>
          </cell>
          <cell r="H46">
            <v>14892</v>
          </cell>
          <cell r="I46">
            <v>16592</v>
          </cell>
          <cell r="J46">
            <v>17884</v>
          </cell>
          <cell r="K46">
            <v>18904</v>
          </cell>
          <cell r="L46">
            <v>19652</v>
          </cell>
          <cell r="M46">
            <v>20264</v>
          </cell>
          <cell r="N46">
            <v>20672</v>
          </cell>
          <cell r="O46">
            <v>21012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6769-CA0F-43CD-A38B-8D42E27B3967}">
  <dimension ref="A1:X1014"/>
  <sheetViews>
    <sheetView tabSelected="1" zoomScale="106" workbookViewId="0">
      <pane xSplit="2" ySplit="3" topLeftCell="C4" activePane="bottomRight" state="frozen"/>
      <selection activeCell="C19" sqref="C19"/>
      <selection pane="topRight" activeCell="C19" sqref="C19"/>
      <selection pane="bottomLeft" activeCell="C19" sqref="C19"/>
      <selection pane="bottomRight" activeCell="G8" sqref="G8"/>
    </sheetView>
  </sheetViews>
  <sheetFormatPr baseColWidth="10" defaultColWidth="13.83203125" defaultRowHeight="15" customHeight="1"/>
  <cols>
    <col min="1" max="1" width="9.6640625" style="46" customWidth="1"/>
    <col min="2" max="2" width="27.33203125" style="46" customWidth="1"/>
    <col min="3" max="3" width="10.5" style="46" customWidth="1"/>
    <col min="4" max="5" width="11.6640625" style="46" bestFit="1" customWidth="1"/>
    <col min="6" max="6" width="10.33203125" style="46" bestFit="1" customWidth="1"/>
    <col min="7" max="7" width="11.83203125" style="46" customWidth="1"/>
    <col min="8" max="9" width="11.33203125" style="46" bestFit="1" customWidth="1"/>
    <col min="10" max="13" width="10.83203125" style="46" customWidth="1"/>
    <col min="14" max="14" width="11.33203125" style="46" bestFit="1" customWidth="1"/>
    <col min="15" max="15" width="11.5" style="46" bestFit="1" customWidth="1"/>
    <col min="16" max="16" width="7" style="46" customWidth="1"/>
    <col min="17" max="24" width="7.33203125" style="46" customWidth="1"/>
    <col min="25" max="26" width="12.1640625" style="46" customWidth="1"/>
    <col min="27" max="16384" width="13.83203125" style="46"/>
  </cols>
  <sheetData>
    <row r="1" spans="1:24" ht="17.25" customHeight="1"/>
    <row r="2" spans="1:24" ht="17.25" customHeight="1"/>
    <row r="3" spans="1:24" ht="17.25" customHeight="1">
      <c r="A3" s="101" t="s">
        <v>76</v>
      </c>
      <c r="B3" s="102"/>
      <c r="C3" s="82">
        <v>45017</v>
      </c>
      <c r="D3" s="82">
        <v>45048</v>
      </c>
      <c r="E3" s="82">
        <v>45079</v>
      </c>
      <c r="F3" s="82">
        <v>45110</v>
      </c>
      <c r="G3" s="82">
        <v>45141</v>
      </c>
      <c r="H3" s="82">
        <v>45172</v>
      </c>
      <c r="I3" s="82">
        <v>45203</v>
      </c>
      <c r="J3" s="82">
        <v>45234</v>
      </c>
      <c r="K3" s="82">
        <v>45265</v>
      </c>
      <c r="L3" s="82">
        <v>45296</v>
      </c>
      <c r="M3" s="82">
        <v>45327</v>
      </c>
      <c r="N3" s="82">
        <v>45358</v>
      </c>
      <c r="O3" s="82" t="s">
        <v>77</v>
      </c>
      <c r="P3" s="54"/>
      <c r="Q3" s="54"/>
      <c r="R3" s="54"/>
      <c r="S3" s="54"/>
      <c r="T3" s="54"/>
      <c r="U3" s="54"/>
      <c r="V3" s="54"/>
      <c r="W3" s="54"/>
      <c r="X3" s="54"/>
    </row>
    <row r="4" spans="1:24" ht="17.25" customHeight="1">
      <c r="A4" s="107" t="s">
        <v>105</v>
      </c>
      <c r="B4" s="81" t="s">
        <v>143</v>
      </c>
      <c r="C4" s="83">
        <v>100000</v>
      </c>
      <c r="D4" s="83">
        <v>100000</v>
      </c>
      <c r="E4" s="83">
        <v>100000</v>
      </c>
      <c r="F4" s="83">
        <v>100000</v>
      </c>
      <c r="G4" s="83">
        <v>8000000</v>
      </c>
      <c r="H4" s="83">
        <v>100000</v>
      </c>
      <c r="I4" s="83">
        <v>100000</v>
      </c>
      <c r="J4" s="83">
        <v>100000</v>
      </c>
      <c r="K4" s="83">
        <v>100000</v>
      </c>
      <c r="L4" s="83">
        <v>8000000</v>
      </c>
      <c r="M4" s="83">
        <v>4000000</v>
      </c>
      <c r="N4" s="83"/>
      <c r="O4" s="84">
        <f>SUM(C4:N4)</f>
        <v>20800000</v>
      </c>
      <c r="P4" s="54"/>
      <c r="Q4" s="54"/>
      <c r="R4" s="54"/>
      <c r="S4" s="54"/>
      <c r="T4" s="54"/>
      <c r="U4" s="54"/>
      <c r="V4" s="54"/>
      <c r="W4" s="54"/>
      <c r="X4" s="54"/>
    </row>
    <row r="5" spans="1:24" ht="17.25" customHeight="1">
      <c r="A5" s="108"/>
      <c r="B5" s="89" t="s">
        <v>133</v>
      </c>
      <c r="C5" s="83">
        <f>'シミュレーション表（1年目） '!D46</f>
        <v>176400</v>
      </c>
      <c r="D5" s="83">
        <f>'シミュレーション表（1年目） '!E46</f>
        <v>176400</v>
      </c>
      <c r="E5" s="83">
        <f>'シミュレーション表（1年目） '!F46</f>
        <v>605520</v>
      </c>
      <c r="F5" s="83">
        <f>'シミュレーション表（1年目） '!G46</f>
        <v>903520</v>
      </c>
      <c r="G5" s="83">
        <f>'シミュレーション表（1年目） '!H46</f>
        <v>1141920</v>
      </c>
      <c r="H5" s="83">
        <f>'シミュレーション表（1年目） '!I46</f>
        <v>1332640</v>
      </c>
      <c r="I5" s="83">
        <f>'シミュレーション表（1年目） '!J46</f>
        <v>1484620</v>
      </c>
      <c r="J5" s="83">
        <f>'シミュレーション表（1年目） '!K46</f>
        <v>1603820</v>
      </c>
      <c r="K5" s="83">
        <f>'シミュレーション表（1年目） '!L46</f>
        <v>1699180</v>
      </c>
      <c r="L5" s="83">
        <f>'シミュレーション表（1年目） '!M46</f>
        <v>1773680</v>
      </c>
      <c r="M5" s="83">
        <f>'シミュレーション表（1年目） '!N46</f>
        <v>1833280</v>
      </c>
      <c r="N5" s="83">
        <f>'シミュレーション表（1年目） '!O46</f>
        <v>1880960</v>
      </c>
      <c r="O5" s="84">
        <f>SUM(C5:N5)</f>
        <v>14611940</v>
      </c>
    </row>
    <row r="6" spans="1:24" ht="17.25" customHeight="1">
      <c r="A6" s="108"/>
      <c r="B6" s="81" t="s">
        <v>107</v>
      </c>
      <c r="C6" s="83">
        <f>'Amazon(モール)'!D17</f>
        <v>234720</v>
      </c>
      <c r="D6" s="83">
        <f>'Amazon(モール)'!E17</f>
        <v>234720</v>
      </c>
      <c r="E6" s="83">
        <f>'Amazon(モール)'!F17</f>
        <v>234720</v>
      </c>
      <c r="F6" s="83">
        <f>'Amazon(モール)'!G17</f>
        <v>234720</v>
      </c>
      <c r="G6" s="83">
        <f>'Amazon(モール)'!H17</f>
        <v>234720</v>
      </c>
      <c r="H6" s="83">
        <f>'Amazon(モール)'!I17</f>
        <v>234720</v>
      </c>
      <c r="I6" s="83">
        <f>'Amazon(モール)'!J17</f>
        <v>234720</v>
      </c>
      <c r="J6" s="83">
        <f>'Amazon(モール)'!K17</f>
        <v>234720</v>
      </c>
      <c r="K6" s="83">
        <f>'Amazon(モール)'!L17</f>
        <v>234720</v>
      </c>
      <c r="L6" s="83">
        <f>'Amazon(モール)'!M17</f>
        <v>234720</v>
      </c>
      <c r="M6" s="83">
        <f>'Amazon(モール)'!N17</f>
        <v>234720</v>
      </c>
      <c r="N6" s="83">
        <f>'Amazon(モール)'!O17</f>
        <v>234720</v>
      </c>
      <c r="O6" s="84">
        <f>SUM(C6:N6)</f>
        <v>2816640</v>
      </c>
      <c r="Q6" s="85"/>
    </row>
    <row r="7" spans="1:24" ht="17.25" customHeight="1">
      <c r="A7" s="108"/>
      <c r="B7" s="81" t="s">
        <v>154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  <c r="Q7" s="85"/>
    </row>
    <row r="8" spans="1:24" ht="17.25" customHeight="1">
      <c r="A8" s="108"/>
      <c r="B8" s="81" t="s">
        <v>144</v>
      </c>
      <c r="C8" s="83">
        <v>200000</v>
      </c>
      <c r="D8" s="83">
        <v>200000</v>
      </c>
      <c r="E8" s="83">
        <v>200000</v>
      </c>
      <c r="F8" s="83">
        <v>200000</v>
      </c>
      <c r="G8" s="83">
        <v>200000</v>
      </c>
      <c r="H8" s="83">
        <v>200000</v>
      </c>
      <c r="I8" s="83">
        <v>200000</v>
      </c>
      <c r="J8" s="83">
        <v>200000</v>
      </c>
      <c r="K8" s="83">
        <v>200000</v>
      </c>
      <c r="L8" s="83">
        <v>200000</v>
      </c>
      <c r="M8" s="83">
        <v>200000</v>
      </c>
      <c r="N8" s="83">
        <v>200000</v>
      </c>
      <c r="O8" s="84">
        <f>SUM(C8:N8)</f>
        <v>2400000</v>
      </c>
      <c r="Q8" s="85"/>
    </row>
    <row r="9" spans="1:24" ht="17.25" customHeight="1">
      <c r="A9" s="108"/>
      <c r="B9" s="81" t="s">
        <v>104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4">
        <f>SUM(C9:N9)</f>
        <v>0</v>
      </c>
    </row>
    <row r="10" spans="1:24" ht="17.25" customHeight="1">
      <c r="A10" s="141" t="s">
        <v>141</v>
      </c>
      <c r="B10" s="81" t="s">
        <v>156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  <row r="11" spans="1:24" ht="17.25" customHeight="1">
      <c r="A11" s="142"/>
      <c r="B11" s="89" t="s">
        <v>133</v>
      </c>
      <c r="C11" s="83">
        <v>0</v>
      </c>
      <c r="D11" s="83">
        <v>0</v>
      </c>
      <c r="E11" s="83">
        <f>'シミュレーション表（1年目） '!F47</f>
        <v>122796</v>
      </c>
      <c r="F11" s="83">
        <f>'シミュレーション表（1年目） '!G47</f>
        <v>160696</v>
      </c>
      <c r="G11" s="83">
        <f>'シミュレーション表（1年目） '!H47</f>
        <v>191016</v>
      </c>
      <c r="H11" s="83">
        <f>'シミュレーション表（1年目） '!I47</f>
        <v>215272</v>
      </c>
      <c r="I11" s="83">
        <f>'シミュレーション表（1年目） '!J47</f>
        <v>234601</v>
      </c>
      <c r="J11" s="83">
        <f>'シミュレーション表（1年目） '!K47</f>
        <v>249761</v>
      </c>
      <c r="K11" s="83">
        <f>'シミュレーション表（1年目） '!L47</f>
        <v>261889</v>
      </c>
      <c r="L11" s="83">
        <f>'シミュレーション表（1年目） '!M47</f>
        <v>271364</v>
      </c>
      <c r="M11" s="83">
        <f>'シミュレーション表（1年目） '!N47</f>
        <v>278944</v>
      </c>
      <c r="N11" s="83">
        <f>'シミュレーション表（1年目） '!O47</f>
        <v>285008</v>
      </c>
      <c r="O11" s="84">
        <f>SUM(C11:N11)</f>
        <v>2271347</v>
      </c>
    </row>
    <row r="12" spans="1:24" ht="17.25" customHeight="1">
      <c r="A12" s="143"/>
      <c r="B12" s="81" t="s">
        <v>107</v>
      </c>
      <c r="C12" s="83">
        <v>0</v>
      </c>
      <c r="D12" s="83">
        <v>0</v>
      </c>
      <c r="E12" s="83">
        <f>'Amazon(モール)'!F18</f>
        <v>58960</v>
      </c>
      <c r="F12" s="83" t="e">
        <f>'Amazon(モール)'!G18</f>
        <v>#VALUE!</v>
      </c>
      <c r="G12" s="83">
        <f>'Amazon(モール)'!H18</f>
        <v>48150</v>
      </c>
      <c r="H12" s="83">
        <f>'Amazon(モール)'!I18</f>
        <v>0</v>
      </c>
      <c r="I12" s="83" t="e">
        <f>'Amazon(モール)'!J18</f>
        <v>#VALUE!</v>
      </c>
      <c r="J12" s="83">
        <f>'Amazon(モール)'!K18</f>
        <v>31500</v>
      </c>
      <c r="K12" s="83">
        <f>'Amazon(モール)'!L18</f>
        <v>0</v>
      </c>
      <c r="L12" s="83">
        <f>'Amazon(モール)'!M18</f>
        <v>0</v>
      </c>
      <c r="M12" s="83">
        <f>'Amazon(モール)'!N18</f>
        <v>0</v>
      </c>
      <c r="N12" s="83">
        <f>'Amazon(モール)'!O18</f>
        <v>0</v>
      </c>
      <c r="O12" s="84" t="e">
        <f t="shared" ref="O12:O32" si="0">SUM(C12:N12)</f>
        <v>#VALUE!</v>
      </c>
    </row>
    <row r="13" spans="1:24" ht="17.25" customHeight="1">
      <c r="A13" s="103" t="s">
        <v>106</v>
      </c>
      <c r="B13" s="104"/>
      <c r="C13" s="48">
        <f>C5-C12</f>
        <v>176400</v>
      </c>
      <c r="D13" s="48">
        <f>D5-D12</f>
        <v>176400</v>
      </c>
      <c r="E13" s="48">
        <f>(E4+E5+E6+E9)-E12</f>
        <v>881280</v>
      </c>
      <c r="F13" s="48" t="e">
        <f>(F4+F5+F6+F9)-F12</f>
        <v>#VALUE!</v>
      </c>
      <c r="G13" s="48">
        <f>(G4+G5+G6+G9)-G12</f>
        <v>9328490</v>
      </c>
      <c r="H13" s="48">
        <f>(H4+H5+H6+H9)-H12</f>
        <v>1667360</v>
      </c>
      <c r="I13" s="48" t="e">
        <f>(I4+I5+I6+I9)-I12</f>
        <v>#VALUE!</v>
      </c>
      <c r="J13" s="48">
        <f>(J4+J5+J6+J9)-J12</f>
        <v>1907040</v>
      </c>
      <c r="K13" s="48">
        <f>(K4+K5+K6+K9)-K12</f>
        <v>2033900</v>
      </c>
      <c r="L13" s="48">
        <f>(L4+L5+L6+L9)-L12</f>
        <v>10008400</v>
      </c>
      <c r="M13" s="48">
        <f>(M4+M5+M6+M9)-M12</f>
        <v>6068000</v>
      </c>
      <c r="N13" s="48">
        <f>(N4+N5+N6+N9)-N12</f>
        <v>2115680</v>
      </c>
      <c r="O13" s="48" t="e">
        <f>(O4+O5+O6+O7+O8+O9)-(O10+O11+O12)</f>
        <v>#VALUE!</v>
      </c>
    </row>
    <row r="14" spans="1:24" ht="17.25" customHeight="1">
      <c r="A14" s="99" t="s">
        <v>55</v>
      </c>
      <c r="B14" s="49" t="s">
        <v>56</v>
      </c>
      <c r="C14" s="47">
        <f>'月別販管費計画表（第1期）'!C6</f>
        <v>0</v>
      </c>
      <c r="D14" s="47">
        <f>'月別販管費計画表（第1期）'!D6</f>
        <v>0</v>
      </c>
      <c r="E14" s="47">
        <f>'月別販管費計画表（第1期）'!E6</f>
        <v>0</v>
      </c>
      <c r="F14" s="47">
        <f>'月別販管費計画表（第1期）'!F6</f>
        <v>0</v>
      </c>
      <c r="G14" s="47">
        <f>'月別販管費計画表（第1期）'!G6</f>
        <v>0</v>
      </c>
      <c r="H14" s="47">
        <f>'月別販管費計画表（第1期）'!H6</f>
        <v>0</v>
      </c>
      <c r="I14" s="47">
        <f>'月別販管費計画表（第1期）'!I6</f>
        <v>0</v>
      </c>
      <c r="J14" s="47">
        <f>'月別販管費計画表（第1期）'!J6</f>
        <v>0</v>
      </c>
      <c r="K14" s="47">
        <f>'月別販管費計画表（第1期）'!K6</f>
        <v>0</v>
      </c>
      <c r="L14" s="47">
        <f>'月別販管費計画表（第1期）'!L6</f>
        <v>0</v>
      </c>
      <c r="M14" s="47">
        <f>'月別販管費計画表（第1期）'!M6</f>
        <v>0</v>
      </c>
      <c r="N14" s="47">
        <f>'月別販管費計画表（第1期）'!N6</f>
        <v>0</v>
      </c>
      <c r="O14" s="55">
        <f t="shared" si="0"/>
        <v>0</v>
      </c>
    </row>
    <row r="15" spans="1:24" ht="17.25" customHeight="1">
      <c r="A15" s="105"/>
      <c r="B15" s="49" t="s">
        <v>57</v>
      </c>
      <c r="C15" s="47">
        <f>'月別販管費計画表（第1期）'!C9</f>
        <v>0</v>
      </c>
      <c r="D15" s="47">
        <f>'月別販管費計画表（第1期）'!D9</f>
        <v>0</v>
      </c>
      <c r="E15" s="47">
        <f>'月別販管費計画表（第1期）'!E9</f>
        <v>0</v>
      </c>
      <c r="F15" s="47">
        <f>'月別販管費計画表（第1期）'!F9</f>
        <v>0</v>
      </c>
      <c r="G15" s="47">
        <f>'月別販管費計画表（第1期）'!G9</f>
        <v>0</v>
      </c>
      <c r="H15" s="47">
        <f>'月別販管費計画表（第1期）'!H9</f>
        <v>0</v>
      </c>
      <c r="I15" s="47">
        <f>'月別販管費計画表（第1期）'!I9</f>
        <v>0</v>
      </c>
      <c r="J15" s="47">
        <f>'月別販管費計画表（第1期）'!J9</f>
        <v>0</v>
      </c>
      <c r="K15" s="47">
        <f>'月別販管費計画表（第1期）'!K9</f>
        <v>0</v>
      </c>
      <c r="L15" s="47">
        <f>'月別販管費計画表（第1期）'!L9</f>
        <v>0</v>
      </c>
      <c r="M15" s="47">
        <f>'月別販管費計画表（第1期）'!M9</f>
        <v>0</v>
      </c>
      <c r="N15" s="47">
        <f>'月別販管費計画表（第1期）'!N9</f>
        <v>0</v>
      </c>
      <c r="O15" s="55">
        <f t="shared" si="0"/>
        <v>0</v>
      </c>
    </row>
    <row r="16" spans="1:24" ht="17.25" customHeight="1">
      <c r="A16" s="105"/>
      <c r="B16" s="50" t="s">
        <v>58</v>
      </c>
      <c r="C16" s="47">
        <f>'月別販管費計画表（第1期）'!C10</f>
        <v>0</v>
      </c>
      <c r="D16" s="47">
        <f>'月別販管費計画表（第1期）'!D10</f>
        <v>0</v>
      </c>
      <c r="E16" s="47">
        <f>'月別販管費計画表（第1期）'!E10</f>
        <v>0</v>
      </c>
      <c r="F16" s="47">
        <f>'月別販管費計画表（第1期）'!F10</f>
        <v>0</v>
      </c>
      <c r="G16" s="47">
        <f>'月別販管費計画表（第1期）'!G10</f>
        <v>0</v>
      </c>
      <c r="H16" s="47">
        <f>'月別販管費計画表（第1期）'!H10</f>
        <v>0</v>
      </c>
      <c r="I16" s="47">
        <f>'月別販管費計画表（第1期）'!I10</f>
        <v>0</v>
      </c>
      <c r="J16" s="47">
        <f>'月別販管費計画表（第1期）'!J10</f>
        <v>0</v>
      </c>
      <c r="K16" s="47">
        <f>'月別販管費計画表（第1期）'!K10</f>
        <v>0</v>
      </c>
      <c r="L16" s="47">
        <f>'月別販管費計画表（第1期）'!L10</f>
        <v>0</v>
      </c>
      <c r="M16" s="47">
        <f>'月別販管費計画表（第1期）'!M10</f>
        <v>0</v>
      </c>
      <c r="N16" s="47">
        <f>'月別販管費計画表（第1期）'!N10</f>
        <v>0</v>
      </c>
      <c r="O16" s="55">
        <f t="shared" si="0"/>
        <v>0</v>
      </c>
    </row>
    <row r="17" spans="1:15" ht="17.25" customHeight="1">
      <c r="A17" s="105"/>
      <c r="B17" s="50" t="s">
        <v>59</v>
      </c>
      <c r="C17" s="47"/>
      <c r="D17" s="47">
        <f>'月別販管費計画表（第1期）'!D11</f>
        <v>0</v>
      </c>
      <c r="E17" s="47">
        <f>'月別販管費計画表（第1期）'!E11</f>
        <v>0</v>
      </c>
      <c r="F17" s="47">
        <f>'月別販管費計画表（第1期）'!F11</f>
        <v>0</v>
      </c>
      <c r="G17" s="47">
        <f>'月別販管費計画表（第1期）'!G11</f>
        <v>0</v>
      </c>
      <c r="H17" s="47">
        <f>'月別販管費計画表（第1期）'!H11</f>
        <v>0</v>
      </c>
      <c r="I17" s="47">
        <f>'月別販管費計画表（第1期）'!I11</f>
        <v>0</v>
      </c>
      <c r="J17" s="47">
        <f>'月別販管費計画表（第1期）'!J11</f>
        <v>0</v>
      </c>
      <c r="K17" s="47">
        <f>'月別販管費計画表（第1期）'!K11</f>
        <v>0</v>
      </c>
      <c r="L17" s="47">
        <f>'月別販管費計画表（第1期）'!L11</f>
        <v>0</v>
      </c>
      <c r="M17" s="47">
        <f>'月別販管費計画表（第1期）'!M11</f>
        <v>0</v>
      </c>
      <c r="N17" s="47">
        <f>'月別販管費計画表（第1期）'!N11</f>
        <v>0</v>
      </c>
      <c r="O17" s="55">
        <f t="shared" si="0"/>
        <v>0</v>
      </c>
    </row>
    <row r="18" spans="1:15" ht="17.25" customHeight="1">
      <c r="A18" s="105"/>
      <c r="B18" s="50" t="s">
        <v>60</v>
      </c>
      <c r="C18" s="47">
        <f>'月別販管費計画表（第1期）'!C12</f>
        <v>0</v>
      </c>
      <c r="D18" s="47">
        <f>'月別販管費計画表（第1期）'!D12</f>
        <v>0</v>
      </c>
      <c r="E18" s="47">
        <f>'月別販管費計画表（第1期）'!E12</f>
        <v>0</v>
      </c>
      <c r="F18" s="47">
        <f>'月別販管費計画表（第1期）'!F12</f>
        <v>0</v>
      </c>
      <c r="G18" s="47">
        <f>'月別販管費計画表（第1期）'!G12</f>
        <v>0</v>
      </c>
      <c r="H18" s="47">
        <f>'月別販管費計画表（第1期）'!H12</f>
        <v>0</v>
      </c>
      <c r="I18" s="47">
        <f>'月別販管費計画表（第1期）'!I12</f>
        <v>0</v>
      </c>
      <c r="J18" s="47">
        <f>'月別販管費計画表（第1期）'!J12</f>
        <v>0</v>
      </c>
      <c r="K18" s="47">
        <f>'月別販管費計画表（第1期）'!K12</f>
        <v>0</v>
      </c>
      <c r="L18" s="47">
        <f>'月別販管費計画表（第1期）'!L12</f>
        <v>0</v>
      </c>
      <c r="M18" s="47">
        <f>'月別販管費計画表（第1期）'!M12</f>
        <v>0</v>
      </c>
      <c r="N18" s="47">
        <f>'月別販管費計画表（第1期）'!N12</f>
        <v>0</v>
      </c>
      <c r="O18" s="55">
        <f t="shared" si="0"/>
        <v>0</v>
      </c>
    </row>
    <row r="19" spans="1:15" ht="17.25" customHeight="1">
      <c r="A19" s="105"/>
      <c r="B19" s="50" t="s">
        <v>61</v>
      </c>
      <c r="C19" s="47">
        <f>'月別販管費計画表（第1期）'!C18</f>
        <v>900000</v>
      </c>
      <c r="D19" s="47">
        <v>0</v>
      </c>
      <c r="E19" s="47">
        <f>'月別販管費計画表（第1期）'!E18</f>
        <v>900000</v>
      </c>
      <c r="F19" s="47">
        <f>'月別販管費計画表（第1期）'!F18</f>
        <v>900000</v>
      </c>
      <c r="G19" s="47">
        <f>'月別販管費計画表（第1期）'!G18</f>
        <v>900000</v>
      </c>
      <c r="H19" s="47">
        <f>'月別販管費計画表（第1期）'!H18</f>
        <v>900000</v>
      </c>
      <c r="I19" s="47">
        <f>'月別販管費計画表（第1期）'!I18</f>
        <v>900000</v>
      </c>
      <c r="J19" s="47">
        <f>'月別販管費計画表（第1期）'!J18</f>
        <v>900000</v>
      </c>
      <c r="K19" s="47">
        <f>'月別販管費計画表（第1期）'!K18</f>
        <v>900000</v>
      </c>
      <c r="L19" s="47">
        <f>'月別販管費計画表（第1期）'!L18</f>
        <v>900000</v>
      </c>
      <c r="M19" s="47">
        <f>'月別販管費計画表（第1期）'!M18</f>
        <v>900000</v>
      </c>
      <c r="N19" s="47">
        <f>'月別販管費計画表（第1期）'!N18</f>
        <v>900000</v>
      </c>
      <c r="O19" s="55">
        <f t="shared" si="0"/>
        <v>9900000</v>
      </c>
    </row>
    <row r="20" spans="1:15" ht="17.25" customHeight="1">
      <c r="A20" s="105"/>
      <c r="B20" s="50" t="s">
        <v>62</v>
      </c>
      <c r="C20" s="47">
        <f>'月別販管費計画表（第1期）'!C32</f>
        <v>405000</v>
      </c>
      <c r="D20" s="47">
        <f>'月別販管費計画表（第1期）'!D32</f>
        <v>220800</v>
      </c>
      <c r="E20" s="47">
        <f>'月別販管費計画表（第1期）'!E32</f>
        <v>282000</v>
      </c>
      <c r="F20" s="47">
        <f>'月別販管費計画表（第1期）'!F32</f>
        <v>286060</v>
      </c>
      <c r="G20" s="47">
        <f>'月別販管費計画表（第1期）'!G32</f>
        <v>290692</v>
      </c>
      <c r="H20" s="47">
        <f>'月別販管費計画表（第1期）'!H32</f>
        <v>294392</v>
      </c>
      <c r="I20" s="47">
        <f>'月別販管費計画表（第1期）'!I32</f>
        <v>295684</v>
      </c>
      <c r="J20" s="47">
        <f>'月別販管費計画表（第1期）'!J32</f>
        <v>296704</v>
      </c>
      <c r="K20" s="47">
        <f>'月別販管費計画表（第1期）'!K32</f>
        <v>297452</v>
      </c>
      <c r="L20" s="47">
        <f>'月別販管費計画表（第1期）'!L32</f>
        <v>298064</v>
      </c>
      <c r="M20" s="47">
        <f>'月別販管費計画表（第1期）'!M32</f>
        <v>298472</v>
      </c>
      <c r="N20" s="47">
        <f>'月別販管費計画表（第1期）'!N32</f>
        <v>298812</v>
      </c>
      <c r="O20" s="55">
        <f t="shared" si="0"/>
        <v>3564132</v>
      </c>
    </row>
    <row r="21" spans="1:15" ht="17.25" customHeight="1">
      <c r="A21" s="105"/>
      <c r="B21" s="50" t="s">
        <v>63</v>
      </c>
      <c r="C21" s="47">
        <f>'月別販管費計画表（第1期）'!C38</f>
        <v>72500</v>
      </c>
      <c r="D21" s="47">
        <f>'月別販管費計画表（第1期）'!D38</f>
        <v>83500</v>
      </c>
      <c r="E21" s="47">
        <f>'月別販管費計画表（第1期）'!E38</f>
        <v>83500</v>
      </c>
      <c r="F21" s="47">
        <f>'月別販管費計画表（第1期）'!F38</f>
        <v>83500</v>
      </c>
      <c r="G21" s="47">
        <f>'月別販管費計画表（第1期）'!G38</f>
        <v>83500</v>
      </c>
      <c r="H21" s="47">
        <f>'月別販管費計画表（第1期）'!H38</f>
        <v>83500</v>
      </c>
      <c r="I21" s="47">
        <f>'月別販管費計画表（第1期）'!I38</f>
        <v>83500</v>
      </c>
      <c r="J21" s="47">
        <f>'月別販管費計画表（第1期）'!J38</f>
        <v>83500</v>
      </c>
      <c r="K21" s="47">
        <f>'月別販管費計画表（第1期）'!K38</f>
        <v>83500</v>
      </c>
      <c r="L21" s="47">
        <f>'月別販管費計画表（第1期）'!L38</f>
        <v>83500</v>
      </c>
      <c r="M21" s="47">
        <f>'月別販管費計画表（第1期）'!M38</f>
        <v>83500</v>
      </c>
      <c r="N21" s="47">
        <f>'月別販管費計画表（第1期）'!N38</f>
        <v>83500</v>
      </c>
      <c r="O21" s="55">
        <f t="shared" si="0"/>
        <v>991000</v>
      </c>
    </row>
    <row r="22" spans="1:15" ht="17.25" customHeight="1">
      <c r="A22" s="105"/>
      <c r="B22" s="50" t="s">
        <v>64</v>
      </c>
      <c r="C22" s="47">
        <f>'月別販管費計画表（第1期）'!C39</f>
        <v>10000</v>
      </c>
      <c r="D22" s="47">
        <f>'月別販管費計画表（第1期）'!D39</f>
        <v>10000</v>
      </c>
      <c r="E22" s="47">
        <f>'月別販管費計画表（第1期）'!E39</f>
        <v>10000</v>
      </c>
      <c r="F22" s="47">
        <f>'月別販管費計画表（第1期）'!F39</f>
        <v>10000</v>
      </c>
      <c r="G22" s="47">
        <f>'月別販管費計画表（第1期）'!G39</f>
        <v>10000</v>
      </c>
      <c r="H22" s="47">
        <f>'月別販管費計画表（第1期）'!H39</f>
        <v>10000</v>
      </c>
      <c r="I22" s="47">
        <f>'月別販管費計画表（第1期）'!I39</f>
        <v>10000</v>
      </c>
      <c r="J22" s="47">
        <f>'月別販管費計画表（第1期）'!J39</f>
        <v>10000</v>
      </c>
      <c r="K22" s="47">
        <f>'月別販管費計画表（第1期）'!K39</f>
        <v>10000</v>
      </c>
      <c r="L22" s="47">
        <f>'月別販管費計画表（第1期）'!L39</f>
        <v>10000</v>
      </c>
      <c r="M22" s="47">
        <f>'月別販管費計画表（第1期）'!M39</f>
        <v>10000</v>
      </c>
      <c r="N22" s="47">
        <f>'月別販管費計画表（第1期）'!N39</f>
        <v>10000</v>
      </c>
      <c r="O22" s="55">
        <f t="shared" si="0"/>
        <v>120000</v>
      </c>
    </row>
    <row r="23" spans="1:15" ht="17.25" customHeight="1">
      <c r="A23" s="105"/>
      <c r="B23" s="50" t="s">
        <v>65</v>
      </c>
      <c r="C23" s="47">
        <f>'月別販管費計画表（第1期）'!C40</f>
        <v>10000</v>
      </c>
      <c r="D23" s="47">
        <f>'月別販管費計画表（第1期）'!D40</f>
        <v>10000</v>
      </c>
      <c r="E23" s="47">
        <f>'月別販管費計画表（第1期）'!E40</f>
        <v>10000</v>
      </c>
      <c r="F23" s="47">
        <f>'月別販管費計画表（第1期）'!F40</f>
        <v>10000</v>
      </c>
      <c r="G23" s="47">
        <f>'月別販管費計画表（第1期）'!G40</f>
        <v>10000</v>
      </c>
      <c r="H23" s="47">
        <f>'月別販管費計画表（第1期）'!H40</f>
        <v>10000</v>
      </c>
      <c r="I23" s="47">
        <f>'月別販管費計画表（第1期）'!I40</f>
        <v>10000</v>
      </c>
      <c r="J23" s="47">
        <f>'月別販管費計画表（第1期）'!J40</f>
        <v>10000</v>
      </c>
      <c r="K23" s="47">
        <f>'月別販管費計画表（第1期）'!K40</f>
        <v>10000</v>
      </c>
      <c r="L23" s="47">
        <f>'月別販管費計画表（第1期）'!L40</f>
        <v>10000</v>
      </c>
      <c r="M23" s="47">
        <f>'月別販管費計画表（第1期）'!M40</f>
        <v>10000</v>
      </c>
      <c r="N23" s="47">
        <f>'月別販管費計画表（第1期）'!N40</f>
        <v>10000</v>
      </c>
      <c r="O23" s="55">
        <f t="shared" si="0"/>
        <v>120000</v>
      </c>
    </row>
    <row r="24" spans="1:15" ht="17.25" customHeight="1">
      <c r="A24" s="105"/>
      <c r="B24" s="79" t="s">
        <v>95</v>
      </c>
      <c r="C24" s="47">
        <f>'月別販管費計画表（第1期）'!C41</f>
        <v>0</v>
      </c>
      <c r="D24" s="47">
        <f>'月別販管費計画表（第1期）'!D41</f>
        <v>84600</v>
      </c>
      <c r="E24" s="47">
        <f>'月別販管費計画表（第1期）'!E41</f>
        <v>152280</v>
      </c>
      <c r="F24" s="47">
        <f>'月別販管費計画表（第1期）'!F41</f>
        <v>199280</v>
      </c>
      <c r="G24" s="47">
        <f>'月別販管費計画表（第1期）'!G41</f>
        <v>236880</v>
      </c>
      <c r="H24" s="47">
        <f>'月別販管費計画表（第1期）'!H41</f>
        <v>266960</v>
      </c>
      <c r="I24" s="47">
        <f>'月別販管費計画表（第1期）'!I41</f>
        <v>290930</v>
      </c>
      <c r="J24" s="47">
        <f>'月別販管費計画表（第1期）'!J41</f>
        <v>309730</v>
      </c>
      <c r="K24" s="47">
        <f>'月別販管費計画表（第1期）'!K41</f>
        <v>324770</v>
      </c>
      <c r="L24" s="47">
        <f>'月別販管費計画表（第1期）'!L41</f>
        <v>336520</v>
      </c>
      <c r="M24" s="47">
        <f>'月別販管費計画表（第1期）'!M41</f>
        <v>345920</v>
      </c>
      <c r="N24" s="47">
        <f>'月別販管費計画表（第1期）'!N41</f>
        <v>353440</v>
      </c>
      <c r="O24" s="55">
        <f t="shared" si="0"/>
        <v>2901310</v>
      </c>
    </row>
    <row r="25" spans="1:15" ht="17.25" customHeight="1">
      <c r="A25" s="105"/>
      <c r="B25" s="50" t="s">
        <v>67</v>
      </c>
      <c r="C25" s="47">
        <f>'月別販管費計画表（第1期）'!C49</f>
        <v>250260</v>
      </c>
      <c r="D25" s="47">
        <f>'月別販管費計画表（第1期）'!D49</f>
        <v>250260</v>
      </c>
      <c r="E25" s="47">
        <f>'月別販管費計画表（第1期）'!E49</f>
        <v>250260</v>
      </c>
      <c r="F25" s="47">
        <f>'月別販管費計画表（第1期）'!F49</f>
        <v>250260</v>
      </c>
      <c r="G25" s="47">
        <f>'月別販管費計画表（第1期）'!G49</f>
        <v>250260</v>
      </c>
      <c r="H25" s="47">
        <f>'月別販管費計画表（第1期）'!H49</f>
        <v>250260</v>
      </c>
      <c r="I25" s="47">
        <f>'月別販管費計画表（第1期）'!I49</f>
        <v>250260</v>
      </c>
      <c r="J25" s="47">
        <f>'月別販管費計画表（第1期）'!J49</f>
        <v>250260</v>
      </c>
      <c r="K25" s="47">
        <f>'月別販管費計画表（第1期）'!K49</f>
        <v>250260</v>
      </c>
      <c r="L25" s="47">
        <f>'月別販管費計画表（第1期）'!L49</f>
        <v>250260</v>
      </c>
      <c r="M25" s="47">
        <f>'月別販管費計画表（第1期）'!M49</f>
        <v>250260</v>
      </c>
      <c r="N25" s="47">
        <f>'月別販管費計画表（第1期）'!N49</f>
        <v>250260</v>
      </c>
      <c r="O25" s="55">
        <f t="shared" si="0"/>
        <v>3003120</v>
      </c>
    </row>
    <row r="26" spans="1:15" ht="17.25" customHeight="1">
      <c r="A26" s="105"/>
      <c r="B26" s="51" t="s">
        <v>68</v>
      </c>
      <c r="C26" s="47">
        <f>'月別販管費計画表（第1期）'!C50</f>
        <v>5292</v>
      </c>
      <c r="D26" s="47">
        <f>'月別販管費計画表（第1期）'!D50</f>
        <v>5292</v>
      </c>
      <c r="E26" s="47">
        <f>'月別販管費計画表（第1期）'!E50</f>
        <v>18165.599999999999</v>
      </c>
      <c r="F26" s="47">
        <f>'月別販管費計画表（第1期）'!F50</f>
        <v>27105.599999999999</v>
      </c>
      <c r="G26" s="47">
        <f>'月別販管費計画表（第1期）'!G50</f>
        <v>34257.599999999999</v>
      </c>
      <c r="H26" s="47">
        <f>'月別販管費計画表（第1期）'!H50</f>
        <v>39979.199999999997</v>
      </c>
      <c r="I26" s="47">
        <f>'月別販管費計画表（第1期）'!I50</f>
        <v>44538.6</v>
      </c>
      <c r="J26" s="47">
        <f>'月別販管費計画表（第1期）'!J50</f>
        <v>48114.6</v>
      </c>
      <c r="K26" s="47">
        <f>'月別販管費計画表（第1期）'!K50</f>
        <v>50975.4</v>
      </c>
      <c r="L26" s="47">
        <f>'月別販管費計画表（第1期）'!L50</f>
        <v>53210.400000000001</v>
      </c>
      <c r="M26" s="47">
        <f>'月別販管費計画表（第1期）'!M50</f>
        <v>54998.400000000001</v>
      </c>
      <c r="N26" s="47">
        <f>'月別販管費計画表（第1期）'!N50</f>
        <v>56428.799999999996</v>
      </c>
      <c r="O26" s="55">
        <f t="shared" si="0"/>
        <v>438358.2</v>
      </c>
    </row>
    <row r="27" spans="1:15" ht="17.25" customHeight="1">
      <c r="A27" s="105"/>
      <c r="B27" s="50" t="s">
        <v>69</v>
      </c>
      <c r="C27" s="47">
        <f>'月別販管費計画表（第1期）'!C51</f>
        <v>0</v>
      </c>
      <c r="D27" s="47">
        <f>'月別販管費計画表（第1期）'!D51</f>
        <v>0</v>
      </c>
      <c r="E27" s="47">
        <f>'月別販管費計画表（第1期）'!E51</f>
        <v>0</v>
      </c>
      <c r="F27" s="47">
        <f>'月別販管費計画表（第1期）'!F51</f>
        <v>0</v>
      </c>
      <c r="G27" s="47">
        <f>'月別販管費計画表（第1期）'!G51</f>
        <v>0</v>
      </c>
      <c r="H27" s="47">
        <f>'月別販管費計画表（第1期）'!H51</f>
        <v>0</v>
      </c>
      <c r="I27" s="47">
        <f>'月別販管費計画表（第1期）'!I51</f>
        <v>0</v>
      </c>
      <c r="J27" s="47">
        <f>'月別販管費計画表（第1期）'!J51</f>
        <v>0</v>
      </c>
      <c r="K27" s="47">
        <f>'月別販管費計画表（第1期）'!K51</f>
        <v>0</v>
      </c>
      <c r="L27" s="47">
        <f>'月別販管費計画表（第1期）'!L51</f>
        <v>0</v>
      </c>
      <c r="M27" s="47">
        <f>'月別販管費計画表（第1期）'!M51</f>
        <v>0</v>
      </c>
      <c r="N27" s="47">
        <f>'月別販管費計画表（第1期）'!N51</f>
        <v>0</v>
      </c>
      <c r="O27" s="55">
        <f t="shared" si="0"/>
        <v>0</v>
      </c>
    </row>
    <row r="28" spans="1:15" ht="17.25" customHeight="1">
      <c r="A28" s="105"/>
      <c r="B28" s="50" t="s">
        <v>70</v>
      </c>
      <c r="C28" s="47">
        <f>'月別販管費計画表（第1期）'!C52</f>
        <v>10000</v>
      </c>
      <c r="D28" s="47">
        <f>'月別販管費計画表（第1期）'!D52</f>
        <v>10000</v>
      </c>
      <c r="E28" s="47">
        <f>'月別販管費計画表（第1期）'!E52</f>
        <v>10000</v>
      </c>
      <c r="F28" s="47">
        <f>'月別販管費計画表（第1期）'!F52</f>
        <v>10000</v>
      </c>
      <c r="G28" s="47">
        <f>'月別販管費計画表（第1期）'!G52</f>
        <v>10000</v>
      </c>
      <c r="H28" s="47">
        <f>'月別販管費計画表（第1期）'!H52</f>
        <v>10000</v>
      </c>
      <c r="I28" s="47">
        <f>'月別販管費計画表（第1期）'!I52</f>
        <v>10000</v>
      </c>
      <c r="J28" s="47">
        <f>'月別販管費計画表（第1期）'!J52</f>
        <v>10000</v>
      </c>
      <c r="K28" s="47">
        <f>'月別販管費計画表（第1期）'!K52</f>
        <v>10000</v>
      </c>
      <c r="L28" s="47">
        <f>'月別販管費計画表（第1期）'!L52</f>
        <v>10000</v>
      </c>
      <c r="M28" s="47">
        <f>'月別販管費計画表（第1期）'!M52</f>
        <v>10000</v>
      </c>
      <c r="N28" s="47">
        <f>'月別販管費計画表（第1期）'!N52</f>
        <v>10000</v>
      </c>
      <c r="O28" s="55">
        <f t="shared" si="0"/>
        <v>120000</v>
      </c>
    </row>
    <row r="29" spans="1:15" ht="17.25" customHeight="1">
      <c r="A29" s="105"/>
      <c r="B29" s="50" t="s">
        <v>71</v>
      </c>
      <c r="C29" s="57">
        <f>'月別販管費計画表（第1期）'!C53</f>
        <v>33000</v>
      </c>
      <c r="D29" s="57">
        <f>'月別販管費計画表（第1期）'!D53</f>
        <v>33000</v>
      </c>
      <c r="E29" s="57">
        <f>'月別販管費計画表（第1期）'!E53</f>
        <v>33000</v>
      </c>
      <c r="F29" s="57">
        <f>'月別販管費計画表（第1期）'!F53</f>
        <v>33000</v>
      </c>
      <c r="G29" s="57">
        <f>'月別販管費計画表（第1期）'!G53</f>
        <v>33000</v>
      </c>
      <c r="H29" s="57">
        <f>'月別販管費計画表（第1期）'!H53</f>
        <v>33000</v>
      </c>
      <c r="I29" s="57">
        <f>'月別販管費計画表（第1期）'!I53</f>
        <v>33000</v>
      </c>
      <c r="J29" s="57">
        <f>'月別販管費計画表（第1期）'!J53</f>
        <v>33000</v>
      </c>
      <c r="K29" s="57">
        <f>'月別販管費計画表（第1期）'!K53</f>
        <v>33000</v>
      </c>
      <c r="L29" s="57">
        <f>'月別販管費計画表（第1期）'!L53</f>
        <v>33000</v>
      </c>
      <c r="M29" s="57">
        <f>'月別販管費計画表（第1期）'!M53</f>
        <v>33000</v>
      </c>
      <c r="N29" s="57">
        <f>'月別販管費計画表（第1期）'!N53</f>
        <v>33000</v>
      </c>
      <c r="O29" s="55">
        <f t="shared" si="0"/>
        <v>396000</v>
      </c>
    </row>
    <row r="30" spans="1:15" ht="17.25" customHeight="1">
      <c r="A30" s="105"/>
      <c r="B30" s="58" t="s">
        <v>72</v>
      </c>
      <c r="C30" s="47">
        <f>'月別販管費計画表（第1期）'!C54</f>
        <v>10000</v>
      </c>
      <c r="D30" s="47">
        <f>'月別販管費計画表（第1期）'!D54</f>
        <v>10000</v>
      </c>
      <c r="E30" s="47">
        <f>'月別販管費計画表（第1期）'!E54</f>
        <v>10000</v>
      </c>
      <c r="F30" s="47">
        <f>'月別販管費計画表（第1期）'!F54</f>
        <v>10000</v>
      </c>
      <c r="G30" s="47">
        <f>'月別販管費計画表（第1期）'!G54</f>
        <v>10000</v>
      </c>
      <c r="H30" s="47">
        <f>'月別販管費計画表（第1期）'!H54</f>
        <v>10000</v>
      </c>
      <c r="I30" s="47">
        <f>'月別販管費計画表（第1期）'!I54</f>
        <v>10000</v>
      </c>
      <c r="J30" s="47">
        <f>'月別販管費計画表（第1期）'!J54</f>
        <v>10000</v>
      </c>
      <c r="K30" s="47">
        <f>'月別販管費計画表（第1期）'!K54</f>
        <v>10000</v>
      </c>
      <c r="L30" s="47">
        <f>'月別販管費計画表（第1期）'!L54</f>
        <v>10000</v>
      </c>
      <c r="M30" s="47">
        <f>'月別販管費計画表（第1期）'!M54</f>
        <v>10000</v>
      </c>
      <c r="N30" s="47">
        <f>'月別販管費計画表（第1期）'!N54</f>
        <v>10000</v>
      </c>
      <c r="O30" s="55">
        <f t="shared" si="0"/>
        <v>120000</v>
      </c>
    </row>
    <row r="31" spans="1:15" ht="17.25" customHeight="1">
      <c r="A31" s="106"/>
      <c r="B31" s="58" t="s">
        <v>73</v>
      </c>
      <c r="C31" s="47">
        <f>'月別販管費計画表（第1期）'!C59</f>
        <v>0</v>
      </c>
      <c r="D31" s="47">
        <f>'月別販管費計画表（第1期）'!D59</f>
        <v>0</v>
      </c>
      <c r="E31" s="47">
        <f>'月別販管費計画表（第1期）'!E59</f>
        <v>0</v>
      </c>
      <c r="F31" s="47">
        <f>'月別販管費計画表（第1期）'!F59</f>
        <v>0</v>
      </c>
      <c r="G31" s="47">
        <f>'月別販管費計画表（第1期）'!G59</f>
        <v>0</v>
      </c>
      <c r="H31" s="47">
        <f>'月別販管費計画表（第1期）'!H59</f>
        <v>0</v>
      </c>
      <c r="I31" s="47">
        <f>'月別販管費計画表（第1期）'!I59</f>
        <v>0</v>
      </c>
      <c r="J31" s="47">
        <f>'月別販管費計画表（第1期）'!J59</f>
        <v>0</v>
      </c>
      <c r="K31" s="47">
        <f>'月別販管費計画表（第1期）'!K59</f>
        <v>0</v>
      </c>
      <c r="L31" s="47">
        <f>'月別販管費計画表（第1期）'!L59</f>
        <v>0</v>
      </c>
      <c r="M31" s="47">
        <f>'月別販管費計画表（第1期）'!M59</f>
        <v>0</v>
      </c>
      <c r="N31" s="47">
        <f>'月別販管費計画表（第1期）'!N59</f>
        <v>0</v>
      </c>
      <c r="O31" s="55">
        <f t="shared" si="0"/>
        <v>0</v>
      </c>
    </row>
    <row r="32" spans="1:15" ht="17.25" customHeight="1">
      <c r="A32" s="97" t="s">
        <v>74</v>
      </c>
      <c r="B32" s="98"/>
      <c r="C32" s="47">
        <f t="shared" ref="C32:N32" si="1">SUM(C14:C31)</f>
        <v>1706052</v>
      </c>
      <c r="D32" s="47">
        <f t="shared" si="1"/>
        <v>717452</v>
      </c>
      <c r="E32" s="47">
        <f t="shared" si="1"/>
        <v>1759205.6</v>
      </c>
      <c r="F32" s="47">
        <f t="shared" si="1"/>
        <v>1819205.6</v>
      </c>
      <c r="G32" s="47">
        <f t="shared" si="1"/>
        <v>1868589.6</v>
      </c>
      <c r="H32" s="47">
        <f t="shared" si="1"/>
        <v>1908091.2</v>
      </c>
      <c r="I32" s="47">
        <f t="shared" si="1"/>
        <v>1937912.6</v>
      </c>
      <c r="J32" s="47">
        <f t="shared" si="1"/>
        <v>1961308.6</v>
      </c>
      <c r="K32" s="47">
        <f t="shared" si="1"/>
        <v>1979957.4</v>
      </c>
      <c r="L32" s="47">
        <f t="shared" si="1"/>
        <v>1994554.4</v>
      </c>
      <c r="M32" s="47">
        <f t="shared" si="1"/>
        <v>2006150.4</v>
      </c>
      <c r="N32" s="47">
        <f t="shared" si="1"/>
        <v>2015440.8</v>
      </c>
      <c r="O32" s="55">
        <f t="shared" si="0"/>
        <v>21673920.199999999</v>
      </c>
    </row>
    <row r="33" spans="1:15" ht="17.25" customHeight="1">
      <c r="A33" s="97" t="s">
        <v>75</v>
      </c>
      <c r="B33" s="98"/>
      <c r="C33" s="47">
        <f t="shared" ref="C33:O33" si="2">C13-C32</f>
        <v>-1529652</v>
      </c>
      <c r="D33" s="47">
        <f t="shared" si="2"/>
        <v>-541052</v>
      </c>
      <c r="E33" s="47">
        <f t="shared" si="2"/>
        <v>-877925.60000000009</v>
      </c>
      <c r="F33" s="47" t="e">
        <f t="shared" si="2"/>
        <v>#VALUE!</v>
      </c>
      <c r="G33" s="47">
        <f t="shared" si="2"/>
        <v>7459900.4000000004</v>
      </c>
      <c r="H33" s="47">
        <f t="shared" si="2"/>
        <v>-240731.19999999995</v>
      </c>
      <c r="I33" s="47" t="e">
        <f t="shared" si="2"/>
        <v>#VALUE!</v>
      </c>
      <c r="J33" s="47">
        <f t="shared" si="2"/>
        <v>-54268.600000000093</v>
      </c>
      <c r="K33" s="47">
        <f t="shared" si="2"/>
        <v>53942.600000000093</v>
      </c>
      <c r="L33" s="47">
        <f t="shared" si="2"/>
        <v>8013845.5999999996</v>
      </c>
      <c r="M33" s="47">
        <f t="shared" si="2"/>
        <v>4061849.6000000001</v>
      </c>
      <c r="N33" s="47">
        <f t="shared" si="2"/>
        <v>100239.19999999995</v>
      </c>
      <c r="O33" s="56" t="e">
        <f t="shared" si="2"/>
        <v>#VALUE!</v>
      </c>
    </row>
    <row r="34" spans="1:15" ht="17.25" customHeight="1">
      <c r="A34" s="99" t="s">
        <v>78</v>
      </c>
      <c r="B34" s="100"/>
      <c r="C34" s="90">
        <f>C33</f>
        <v>-1529652</v>
      </c>
      <c r="D34" s="90">
        <f>C34+D33</f>
        <v>-2070704</v>
      </c>
      <c r="E34" s="90">
        <f>C33+D33+E33</f>
        <v>-2948629.6</v>
      </c>
      <c r="F34" s="90" t="e">
        <f>C33+D33+E33+F33</f>
        <v>#VALUE!</v>
      </c>
      <c r="G34" s="90" t="e">
        <f>C33+D33+E33+F33+G33</f>
        <v>#VALUE!</v>
      </c>
      <c r="H34" s="90" t="e">
        <f t="shared" ref="H34:N34" si="3">G34+H33</f>
        <v>#VALUE!</v>
      </c>
      <c r="I34" s="90" t="e">
        <f t="shared" si="3"/>
        <v>#VALUE!</v>
      </c>
      <c r="J34" s="90" t="e">
        <f t="shared" si="3"/>
        <v>#VALUE!</v>
      </c>
      <c r="K34" s="90" t="e">
        <f t="shared" si="3"/>
        <v>#VALUE!</v>
      </c>
      <c r="L34" s="90" t="e">
        <f t="shared" si="3"/>
        <v>#VALUE!</v>
      </c>
      <c r="M34" s="90" t="e">
        <f t="shared" si="3"/>
        <v>#VALUE!</v>
      </c>
      <c r="N34" s="90" t="e">
        <f t="shared" si="3"/>
        <v>#VALUE!</v>
      </c>
      <c r="O34" s="91" t="e">
        <f>N34</f>
        <v>#VALUE!</v>
      </c>
    </row>
    <row r="35" spans="1:15" ht="17.25" customHeight="1">
      <c r="A35" s="95" t="s">
        <v>134</v>
      </c>
      <c r="B35" s="96"/>
      <c r="C35" s="92">
        <v>12000000</v>
      </c>
      <c r="D35" s="92">
        <f>C35+D33</f>
        <v>11458948</v>
      </c>
      <c r="E35" s="92">
        <f ca="1">E35+F33</f>
        <v>0</v>
      </c>
      <c r="F35" s="92"/>
      <c r="G35" s="92">
        <f t="shared" ref="F35:N35" si="4">F35+G33</f>
        <v>7459900.4000000004</v>
      </c>
      <c r="H35" s="92">
        <f t="shared" si="4"/>
        <v>7219169.2000000002</v>
      </c>
      <c r="I35" s="92" t="e">
        <f t="shared" si="4"/>
        <v>#VALUE!</v>
      </c>
      <c r="J35" s="92" t="e">
        <f t="shared" si="4"/>
        <v>#VALUE!</v>
      </c>
      <c r="K35" s="92" t="e">
        <f t="shared" si="4"/>
        <v>#VALUE!</v>
      </c>
      <c r="L35" s="92" t="e">
        <f t="shared" si="4"/>
        <v>#VALUE!</v>
      </c>
      <c r="M35" s="92" t="e">
        <f t="shared" si="4"/>
        <v>#VALUE!</v>
      </c>
      <c r="N35" s="92" t="e">
        <f t="shared" si="4"/>
        <v>#VALUE!</v>
      </c>
      <c r="O35" s="92"/>
    </row>
    <row r="36" spans="1:15" ht="17.25" customHeight="1">
      <c r="A36" s="52"/>
      <c r="C36" s="52"/>
      <c r="E36" s="52"/>
      <c r="G36" s="52"/>
      <c r="I36" s="52"/>
      <c r="L36" s="52"/>
      <c r="N36" s="52"/>
    </row>
    <row r="37" spans="1:15" ht="17.25" customHeight="1">
      <c r="C37" s="52"/>
      <c r="G37" s="52"/>
      <c r="I37" s="52"/>
      <c r="M37" s="52"/>
    </row>
    <row r="38" spans="1:15" ht="17.25" customHeight="1">
      <c r="C38" s="52"/>
      <c r="G38" s="52"/>
      <c r="I38" s="52"/>
      <c r="M38" s="52"/>
    </row>
    <row r="39" spans="1:15" ht="17.25" customHeight="1">
      <c r="C39" s="52"/>
      <c r="G39" s="52"/>
      <c r="J39" s="52"/>
      <c r="M39" s="52"/>
    </row>
    <row r="40" spans="1:15" ht="17.25" customHeight="1">
      <c r="C40" s="52"/>
      <c r="G40" s="52"/>
      <c r="L40" s="52"/>
    </row>
    <row r="41" spans="1:15" ht="17.25" customHeight="1">
      <c r="C41" s="52"/>
      <c r="H41" s="52"/>
      <c r="L41" s="52"/>
    </row>
    <row r="42" spans="1:15" ht="17.25" customHeight="1">
      <c r="C42" s="52"/>
      <c r="G42" s="52"/>
    </row>
    <row r="43" spans="1:15" ht="17.25" customHeight="1">
      <c r="C43" s="52"/>
      <c r="I43" s="52"/>
    </row>
    <row r="44" spans="1:15" ht="17.25" customHeight="1">
      <c r="C44" s="52"/>
      <c r="G44" s="52"/>
    </row>
    <row r="45" spans="1:15" ht="17.25" customHeight="1">
      <c r="C45" s="52"/>
      <c r="H45" s="52"/>
    </row>
    <row r="46" spans="1:15" ht="17.25" customHeight="1">
      <c r="C46" s="52"/>
    </row>
    <row r="47" spans="1:15" ht="17.25" customHeight="1">
      <c r="C47" s="52"/>
    </row>
    <row r="48" spans="1:15" ht="17.25" customHeight="1">
      <c r="C48" s="52"/>
    </row>
    <row r="49" spans="2:15" ht="17.25" customHeight="1">
      <c r="C49" s="52"/>
    </row>
    <row r="50" spans="2:15" ht="17.25" customHeight="1">
      <c r="C50" s="52"/>
    </row>
    <row r="51" spans="2:15" ht="17.25" customHeight="1"/>
    <row r="52" spans="2:15" ht="17.25" customHeight="1">
      <c r="B52" s="52"/>
      <c r="C52" s="59"/>
    </row>
    <row r="53" spans="2:15" ht="17.25" customHeight="1">
      <c r="B53" s="52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2:15" ht="17.25" customHeight="1">
      <c r="B54" s="5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2:15" ht="17.25" customHeight="1">
      <c r="B55" s="52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15" ht="17.25" customHeight="1">
      <c r="B56" s="52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15" ht="17.25" customHeight="1">
      <c r="B57" s="52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2:15" ht="17.25" customHeight="1">
      <c r="B58" s="52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</row>
    <row r="59" spans="2:15" ht="17.25" customHeight="1">
      <c r="B59" s="52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2:15" ht="17.25" customHeight="1">
      <c r="B60" s="52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</row>
    <row r="61" spans="2:15" ht="17.25" customHeight="1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>
        <f t="shared" ref="O61:O71" si="5">SUM(C61:N61)</f>
        <v>0</v>
      </c>
    </row>
    <row r="62" spans="2:15" ht="17.25" customHeight="1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>
        <f t="shared" si="5"/>
        <v>0</v>
      </c>
    </row>
    <row r="63" spans="2:15" ht="17.25" customHeight="1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>
        <f t="shared" si="5"/>
        <v>0</v>
      </c>
    </row>
    <row r="64" spans="2:15" ht="17.25" customHeight="1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>
        <f t="shared" si="5"/>
        <v>0</v>
      </c>
    </row>
    <row r="65" spans="3:15" ht="17.25" customHeight="1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>
        <f t="shared" si="5"/>
        <v>0</v>
      </c>
    </row>
    <row r="66" spans="3:15" ht="17.25" customHeight="1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>
        <f t="shared" si="5"/>
        <v>0</v>
      </c>
    </row>
    <row r="67" spans="3:15" ht="17.25" customHeight="1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>
        <f t="shared" si="5"/>
        <v>0</v>
      </c>
    </row>
    <row r="68" spans="3:15" ht="17.25" customHeight="1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>
        <f t="shared" si="5"/>
        <v>0</v>
      </c>
    </row>
    <row r="69" spans="3:15" ht="17.25" customHeight="1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>
        <f t="shared" si="5"/>
        <v>0</v>
      </c>
    </row>
    <row r="70" spans="3:15" ht="17.25" customHeight="1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>
        <f t="shared" si="5"/>
        <v>0</v>
      </c>
    </row>
    <row r="71" spans="3:15" ht="17.25" customHeight="1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>
        <f t="shared" si="5"/>
        <v>0</v>
      </c>
    </row>
    <row r="72" spans="3:15" ht="17.25" customHeight="1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</row>
    <row r="73" spans="3:15" ht="17.25" customHeight="1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</row>
    <row r="74" spans="3:15" ht="17.25" customHeight="1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</row>
    <row r="75" spans="3:15" ht="17.25" customHeight="1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</row>
    <row r="76" spans="3:15" ht="17.25" customHeight="1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</row>
    <row r="77" spans="3:15" ht="17.25" customHeight="1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</row>
    <row r="78" spans="3:15" ht="17.25" customHeight="1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</row>
    <row r="79" spans="3:15" ht="17.25" customHeight="1"/>
    <row r="80" spans="3:15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  <row r="1001" ht="17.25" customHeight="1"/>
    <row r="1002" ht="17.25" customHeight="1"/>
    <row r="1003" ht="17.25" customHeight="1"/>
    <row r="1004" ht="17.25" customHeight="1"/>
    <row r="1005" ht="17.25" customHeight="1"/>
    <row r="1006" ht="17.25" customHeight="1"/>
    <row r="1007" ht="17.25" customHeight="1"/>
    <row r="1008" ht="17.25" customHeight="1"/>
    <row r="1009" ht="17.25" customHeight="1"/>
    <row r="1010" ht="17.25" customHeight="1"/>
    <row r="1011" ht="17.25" customHeight="1"/>
    <row r="1012" ht="17.25" customHeight="1"/>
    <row r="1013" ht="17.25" customHeight="1"/>
    <row r="1014" ht="17.25" customHeight="1"/>
  </sheetData>
  <mergeCells count="9">
    <mergeCell ref="A35:B35"/>
    <mergeCell ref="A33:B33"/>
    <mergeCell ref="A34:B34"/>
    <mergeCell ref="A3:B3"/>
    <mergeCell ref="A13:B13"/>
    <mergeCell ref="A14:A31"/>
    <mergeCell ref="A32:B32"/>
    <mergeCell ref="A4:A9"/>
    <mergeCell ref="A10:A12"/>
  </mergeCells>
  <phoneticPr fontId="2"/>
  <pageMargins left="0.7" right="0.7" top="0.75" bottom="0.75" header="0.3" footer="0.3"/>
  <pageSetup paperSize="9" scale="5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5A1E-C13C-4DB4-AED1-C7864E6B6D6B}">
  <sheetPr>
    <outlinePr summaryBelow="0" summaryRight="0"/>
  </sheetPr>
  <dimension ref="A1:U68"/>
  <sheetViews>
    <sheetView workbookViewId="0">
      <pane xSplit="2" ySplit="3" topLeftCell="C4" activePane="bottomRight" state="frozen"/>
      <selection activeCell="C19" sqref="C19"/>
      <selection pane="topRight" activeCell="C19" sqref="C19"/>
      <selection pane="bottomLeft" activeCell="C19" sqref="C19"/>
      <selection pane="bottomRight" activeCell="C5" sqref="C5"/>
    </sheetView>
  </sheetViews>
  <sheetFormatPr baseColWidth="10" defaultColWidth="13.83203125" defaultRowHeight="15" customHeight="1"/>
  <cols>
    <col min="1" max="1" width="12.1640625" style="46" customWidth="1"/>
    <col min="2" max="2" width="26.5" style="46" customWidth="1"/>
    <col min="3" max="21" width="12.1640625" style="46" customWidth="1"/>
    <col min="22" max="16384" width="13.83203125" style="46"/>
  </cols>
  <sheetData>
    <row r="1" spans="1:21" ht="15" customHeight="1">
      <c r="A1" s="109" t="s">
        <v>76</v>
      </c>
      <c r="B1" s="110"/>
      <c r="C1" s="60"/>
    </row>
    <row r="2" spans="1:21" ht="15" customHeight="1">
      <c r="A2" s="111"/>
      <c r="B2" s="111"/>
    </row>
    <row r="3" spans="1:21" ht="15" customHeight="1">
      <c r="A3" s="61" t="s">
        <v>79</v>
      </c>
      <c r="B3" s="62" t="s">
        <v>80</v>
      </c>
      <c r="C3" s="53">
        <v>44652</v>
      </c>
      <c r="D3" s="53">
        <v>44682</v>
      </c>
      <c r="E3" s="53">
        <v>44713</v>
      </c>
      <c r="F3" s="53">
        <v>44743</v>
      </c>
      <c r="G3" s="53">
        <v>44774</v>
      </c>
      <c r="H3" s="53">
        <v>44805</v>
      </c>
      <c r="I3" s="53">
        <v>44835</v>
      </c>
      <c r="J3" s="53">
        <v>44866</v>
      </c>
      <c r="K3" s="53">
        <v>44896</v>
      </c>
      <c r="L3" s="53">
        <v>44927</v>
      </c>
      <c r="M3" s="53">
        <v>44958</v>
      </c>
      <c r="N3" s="53">
        <v>44986</v>
      </c>
      <c r="O3" s="63" t="s">
        <v>81</v>
      </c>
    </row>
    <row r="4" spans="1:21" ht="15" customHeight="1">
      <c r="A4" s="50" t="s">
        <v>56</v>
      </c>
      <c r="B4" s="78" t="s">
        <v>85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6">
        <f t="shared" ref="O4:O60" si="0">SUM(C4:N4)</f>
        <v>0</v>
      </c>
    </row>
    <row r="5" spans="1:21" ht="15" customHeight="1">
      <c r="A5" s="50" t="s">
        <v>56</v>
      </c>
      <c r="B5" s="78" t="s">
        <v>86</v>
      </c>
      <c r="C5" s="65">
        <v>0</v>
      </c>
      <c r="D5" s="65">
        <v>0</v>
      </c>
      <c r="E5" s="65">
        <v>0</v>
      </c>
      <c r="F5" s="65">
        <v>0</v>
      </c>
      <c r="G5" s="65">
        <v>0</v>
      </c>
      <c r="H5" s="65">
        <v>0</v>
      </c>
      <c r="I5" s="65">
        <v>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6">
        <f t="shared" si="0"/>
        <v>0</v>
      </c>
    </row>
    <row r="6" spans="1:21" ht="15" customHeight="1">
      <c r="A6" s="68" t="s">
        <v>56</v>
      </c>
      <c r="B6" s="68" t="s">
        <v>82</v>
      </c>
      <c r="C6" s="69">
        <f t="shared" ref="C6:N6" si="1">SUM(C4:C5)</f>
        <v>0</v>
      </c>
      <c r="D6" s="69">
        <f t="shared" si="1"/>
        <v>0</v>
      </c>
      <c r="E6" s="69">
        <f t="shared" si="1"/>
        <v>0</v>
      </c>
      <c r="F6" s="69">
        <f t="shared" si="1"/>
        <v>0</v>
      </c>
      <c r="G6" s="69">
        <f t="shared" si="1"/>
        <v>0</v>
      </c>
      <c r="H6" s="69">
        <f t="shared" si="1"/>
        <v>0</v>
      </c>
      <c r="I6" s="69">
        <f t="shared" si="1"/>
        <v>0</v>
      </c>
      <c r="J6" s="69">
        <f t="shared" si="1"/>
        <v>0</v>
      </c>
      <c r="K6" s="69">
        <f t="shared" si="1"/>
        <v>0</v>
      </c>
      <c r="L6" s="69">
        <f t="shared" si="1"/>
        <v>0</v>
      </c>
      <c r="M6" s="69">
        <f t="shared" si="1"/>
        <v>0</v>
      </c>
      <c r="N6" s="69">
        <f t="shared" si="1"/>
        <v>0</v>
      </c>
      <c r="O6" s="70">
        <f t="shared" si="0"/>
        <v>0</v>
      </c>
      <c r="P6" s="71"/>
      <c r="Q6" s="71"/>
      <c r="R6" s="71"/>
      <c r="S6" s="71"/>
      <c r="T6" s="71"/>
      <c r="U6" s="71"/>
    </row>
    <row r="7" spans="1:21" ht="15" customHeight="1">
      <c r="A7" s="50" t="s">
        <v>57</v>
      </c>
      <c r="B7" s="78" t="s">
        <v>85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>
        <f t="shared" si="0"/>
        <v>0</v>
      </c>
    </row>
    <row r="8" spans="1:21" ht="15" customHeight="1">
      <c r="A8" s="50" t="s">
        <v>57</v>
      </c>
      <c r="B8" s="74" t="s">
        <v>86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6">
        <f t="shared" si="0"/>
        <v>0</v>
      </c>
    </row>
    <row r="9" spans="1:21" ht="15" customHeight="1">
      <c r="A9" s="68" t="s">
        <v>57</v>
      </c>
      <c r="B9" s="68" t="s">
        <v>82</v>
      </c>
      <c r="C9" s="69">
        <f t="shared" ref="C9:N9" si="2">SUM(C7:C8)</f>
        <v>0</v>
      </c>
      <c r="D9" s="69">
        <f t="shared" si="2"/>
        <v>0</v>
      </c>
      <c r="E9" s="69">
        <f t="shared" si="2"/>
        <v>0</v>
      </c>
      <c r="F9" s="69">
        <f t="shared" si="2"/>
        <v>0</v>
      </c>
      <c r="G9" s="69">
        <f t="shared" si="2"/>
        <v>0</v>
      </c>
      <c r="H9" s="69">
        <f t="shared" si="2"/>
        <v>0</v>
      </c>
      <c r="I9" s="69">
        <f t="shared" si="2"/>
        <v>0</v>
      </c>
      <c r="J9" s="69">
        <f t="shared" si="2"/>
        <v>0</v>
      </c>
      <c r="K9" s="69">
        <f t="shared" si="2"/>
        <v>0</v>
      </c>
      <c r="L9" s="69">
        <f t="shared" si="2"/>
        <v>0</v>
      </c>
      <c r="M9" s="69">
        <f t="shared" si="2"/>
        <v>0</v>
      </c>
      <c r="N9" s="69">
        <f t="shared" si="2"/>
        <v>0</v>
      </c>
      <c r="O9" s="70">
        <f t="shared" si="0"/>
        <v>0</v>
      </c>
      <c r="P9" s="71"/>
      <c r="Q9" s="71"/>
      <c r="R9" s="71"/>
      <c r="S9" s="71"/>
      <c r="T9" s="71"/>
      <c r="U9" s="71"/>
    </row>
    <row r="10" spans="1:21" ht="15" customHeight="1">
      <c r="A10" s="50" t="s">
        <v>58</v>
      </c>
      <c r="B10" s="72"/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6">
        <f t="shared" si="0"/>
        <v>0</v>
      </c>
    </row>
    <row r="11" spans="1:21" ht="15" customHeight="1">
      <c r="A11" s="68" t="s">
        <v>59</v>
      </c>
      <c r="B11" s="68" t="s">
        <v>82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f t="shared" si="0"/>
        <v>0</v>
      </c>
      <c r="P11" s="71"/>
      <c r="Q11" s="71"/>
      <c r="R11" s="71"/>
      <c r="S11" s="71"/>
      <c r="T11" s="71"/>
      <c r="U11" s="71"/>
    </row>
    <row r="12" spans="1:21" ht="15" customHeight="1">
      <c r="A12" s="68" t="s">
        <v>60</v>
      </c>
      <c r="B12" s="68" t="s">
        <v>82</v>
      </c>
      <c r="C12" s="69">
        <f t="shared" ref="C12:N12" si="3">C10*0.13</f>
        <v>0</v>
      </c>
      <c r="D12" s="69">
        <f t="shared" si="3"/>
        <v>0</v>
      </c>
      <c r="E12" s="69">
        <f t="shared" si="3"/>
        <v>0</v>
      </c>
      <c r="F12" s="69">
        <f t="shared" si="3"/>
        <v>0</v>
      </c>
      <c r="G12" s="69">
        <f t="shared" si="3"/>
        <v>0</v>
      </c>
      <c r="H12" s="69">
        <f t="shared" si="3"/>
        <v>0</v>
      </c>
      <c r="I12" s="69">
        <f t="shared" si="3"/>
        <v>0</v>
      </c>
      <c r="J12" s="69">
        <f t="shared" si="3"/>
        <v>0</v>
      </c>
      <c r="K12" s="69">
        <f t="shared" si="3"/>
        <v>0</v>
      </c>
      <c r="L12" s="69">
        <f t="shared" si="3"/>
        <v>0</v>
      </c>
      <c r="M12" s="69">
        <f t="shared" si="3"/>
        <v>0</v>
      </c>
      <c r="N12" s="69">
        <f t="shared" si="3"/>
        <v>0</v>
      </c>
      <c r="O12" s="70">
        <f t="shared" si="0"/>
        <v>0</v>
      </c>
      <c r="P12" s="71"/>
      <c r="Q12" s="71"/>
      <c r="R12" s="71"/>
      <c r="S12" s="71"/>
      <c r="T12" s="71"/>
      <c r="U12" s="71"/>
    </row>
    <row r="13" spans="1:21" ht="15" customHeight="1">
      <c r="A13" s="50" t="s">
        <v>61</v>
      </c>
      <c r="B13" s="50" t="s">
        <v>87</v>
      </c>
      <c r="C13" s="66">
        <f>'シミュレーション表（1年目） '!D48</f>
        <v>900000</v>
      </c>
      <c r="D13" s="66">
        <f>'シミュレーション表（1年目） '!E48</f>
        <v>900000</v>
      </c>
      <c r="E13" s="66">
        <f>'シミュレーション表（1年目） '!F48</f>
        <v>900000</v>
      </c>
      <c r="F13" s="66">
        <f>'シミュレーション表（1年目） '!G48</f>
        <v>900000</v>
      </c>
      <c r="G13" s="66">
        <f>'シミュレーション表（1年目） '!H48</f>
        <v>900000</v>
      </c>
      <c r="H13" s="66">
        <f>'シミュレーション表（1年目） '!I48</f>
        <v>900000</v>
      </c>
      <c r="I13" s="66">
        <f>'シミュレーション表（1年目） '!J48</f>
        <v>900000</v>
      </c>
      <c r="J13" s="66">
        <f>'シミュレーション表（1年目） '!K48</f>
        <v>900000</v>
      </c>
      <c r="K13" s="66">
        <f>'シミュレーション表（1年目） '!L48</f>
        <v>900000</v>
      </c>
      <c r="L13" s="66">
        <f>'シミュレーション表（1年目） '!M48</f>
        <v>900000</v>
      </c>
      <c r="M13" s="66">
        <f>'シミュレーション表（1年目） '!N48</f>
        <v>900000</v>
      </c>
      <c r="N13" s="66">
        <f>'シミュレーション表（1年目） '!O48</f>
        <v>900000</v>
      </c>
      <c r="O13" s="66">
        <f t="shared" si="0"/>
        <v>10800000</v>
      </c>
    </row>
    <row r="14" spans="1:21" ht="15" customHeight="1">
      <c r="A14" s="50" t="s">
        <v>61</v>
      </c>
      <c r="B14" s="51"/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f t="shared" si="0"/>
        <v>0</v>
      </c>
    </row>
    <row r="15" spans="1:21" ht="15" customHeight="1">
      <c r="A15" s="50" t="s">
        <v>61</v>
      </c>
      <c r="B15" s="50"/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f t="shared" si="0"/>
        <v>0</v>
      </c>
    </row>
    <row r="16" spans="1:21" ht="15" customHeight="1">
      <c r="A16" s="50" t="s">
        <v>61</v>
      </c>
      <c r="B16" s="50"/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f t="shared" si="0"/>
        <v>0</v>
      </c>
    </row>
    <row r="17" spans="1:21" ht="15" customHeight="1">
      <c r="A17" s="50" t="s">
        <v>61</v>
      </c>
      <c r="B17" s="51"/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f t="shared" si="0"/>
        <v>0</v>
      </c>
    </row>
    <row r="18" spans="1:21" ht="15" customHeight="1">
      <c r="A18" s="68" t="s">
        <v>61</v>
      </c>
      <c r="B18" s="68" t="s">
        <v>82</v>
      </c>
      <c r="C18" s="70">
        <f t="shared" ref="C18:N18" si="4">SUM(C13:C17)</f>
        <v>900000</v>
      </c>
      <c r="D18" s="70">
        <f t="shared" si="4"/>
        <v>900000</v>
      </c>
      <c r="E18" s="70">
        <f t="shared" si="4"/>
        <v>900000</v>
      </c>
      <c r="F18" s="70">
        <f t="shared" si="4"/>
        <v>900000</v>
      </c>
      <c r="G18" s="70">
        <f t="shared" si="4"/>
        <v>900000</v>
      </c>
      <c r="H18" s="70">
        <f t="shared" si="4"/>
        <v>900000</v>
      </c>
      <c r="I18" s="70">
        <f t="shared" si="4"/>
        <v>900000</v>
      </c>
      <c r="J18" s="70">
        <f t="shared" si="4"/>
        <v>900000</v>
      </c>
      <c r="K18" s="70">
        <f t="shared" si="4"/>
        <v>900000</v>
      </c>
      <c r="L18" s="70">
        <f t="shared" si="4"/>
        <v>900000</v>
      </c>
      <c r="M18" s="70">
        <f t="shared" si="4"/>
        <v>900000</v>
      </c>
      <c r="N18" s="70">
        <f t="shared" si="4"/>
        <v>900000</v>
      </c>
      <c r="O18" s="70">
        <f t="shared" si="0"/>
        <v>10800000</v>
      </c>
      <c r="P18" s="71"/>
      <c r="Q18" s="71"/>
      <c r="R18" s="71"/>
      <c r="S18" s="71"/>
      <c r="T18" s="71"/>
      <c r="U18" s="71"/>
    </row>
    <row r="19" spans="1:21" ht="15" customHeight="1">
      <c r="A19" s="50" t="s">
        <v>62</v>
      </c>
      <c r="B19" s="78" t="s">
        <v>88</v>
      </c>
      <c r="C19" s="66">
        <f>C13*0.15</f>
        <v>135000</v>
      </c>
      <c r="D19" s="66">
        <f t="shared" ref="D19:N19" si="5">D13*0.15</f>
        <v>135000</v>
      </c>
      <c r="E19" s="66">
        <f t="shared" si="5"/>
        <v>135000</v>
      </c>
      <c r="F19" s="66">
        <f t="shared" si="5"/>
        <v>135000</v>
      </c>
      <c r="G19" s="66">
        <f t="shared" si="5"/>
        <v>135000</v>
      </c>
      <c r="H19" s="66">
        <f t="shared" si="5"/>
        <v>135000</v>
      </c>
      <c r="I19" s="66">
        <f t="shared" si="5"/>
        <v>135000</v>
      </c>
      <c r="J19" s="66">
        <f t="shared" si="5"/>
        <v>135000</v>
      </c>
      <c r="K19" s="66">
        <f t="shared" si="5"/>
        <v>135000</v>
      </c>
      <c r="L19" s="66">
        <f t="shared" si="5"/>
        <v>135000</v>
      </c>
      <c r="M19" s="66">
        <f t="shared" si="5"/>
        <v>135000</v>
      </c>
      <c r="N19" s="66">
        <f t="shared" si="5"/>
        <v>135000</v>
      </c>
      <c r="O19" s="66">
        <f t="shared" si="0"/>
        <v>1620000</v>
      </c>
    </row>
    <row r="20" spans="1:21">
      <c r="A20" s="50" t="s">
        <v>62</v>
      </c>
      <c r="B20" s="74" t="s">
        <v>89</v>
      </c>
      <c r="C20" s="66">
        <f>'[1]シミュレーション表（1年目） '!D46</f>
        <v>0</v>
      </c>
      <c r="D20" s="66">
        <f>'[1]シミュレーション表（1年目） '!E46</f>
        <v>0</v>
      </c>
      <c r="E20" s="66">
        <f>'[1]シミュレーション表（1年目） '!F46</f>
        <v>10200</v>
      </c>
      <c r="F20" s="66">
        <f>'[1]シミュレーション表（1年目） '!G46</f>
        <v>13260</v>
      </c>
      <c r="G20" s="66">
        <f>'[1]シミュレーション表（1年目） '!H46</f>
        <v>14892</v>
      </c>
      <c r="H20" s="66">
        <f>'[1]シミュレーション表（1年目） '!I46</f>
        <v>16592</v>
      </c>
      <c r="I20" s="66">
        <f>'[1]シミュレーション表（1年目） '!J46</f>
        <v>17884</v>
      </c>
      <c r="J20" s="66">
        <f>'[1]シミュレーション表（1年目） '!K46</f>
        <v>18904</v>
      </c>
      <c r="K20" s="66">
        <f>'[1]シミュレーション表（1年目） '!L46</f>
        <v>19652</v>
      </c>
      <c r="L20" s="66">
        <f>'[1]シミュレーション表（1年目） '!M46</f>
        <v>20264</v>
      </c>
      <c r="M20" s="66">
        <f>'[1]シミュレーション表（1年目） '!N46</f>
        <v>20672</v>
      </c>
      <c r="N20" s="66">
        <f>'[1]シミュレーション表（1年目） '!O46</f>
        <v>21012</v>
      </c>
      <c r="O20" s="66">
        <f t="shared" si="0"/>
        <v>173332</v>
      </c>
    </row>
    <row r="21" spans="1:21">
      <c r="A21" s="50" t="s">
        <v>62</v>
      </c>
      <c r="B21" s="50" t="s">
        <v>83</v>
      </c>
      <c r="C21" s="66">
        <v>270000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6">
        <f t="shared" si="0"/>
        <v>270000</v>
      </c>
    </row>
    <row r="22" spans="1:21">
      <c r="A22" s="50" t="s">
        <v>62</v>
      </c>
      <c r="B22" s="79" t="s">
        <v>96</v>
      </c>
      <c r="C22" s="66">
        <v>0</v>
      </c>
      <c r="D22" s="66">
        <v>85800</v>
      </c>
      <c r="E22" s="66">
        <v>85800</v>
      </c>
      <c r="F22" s="66">
        <v>85800</v>
      </c>
      <c r="G22" s="66">
        <v>85800</v>
      </c>
      <c r="H22" s="66">
        <v>85800</v>
      </c>
      <c r="I22" s="66">
        <v>85800</v>
      </c>
      <c r="J22" s="66">
        <v>85800</v>
      </c>
      <c r="K22" s="66">
        <v>85800</v>
      </c>
      <c r="L22" s="66">
        <v>85800</v>
      </c>
      <c r="M22" s="66">
        <v>85800</v>
      </c>
      <c r="N22" s="66">
        <v>85800</v>
      </c>
      <c r="O22" s="66">
        <f t="shared" si="0"/>
        <v>943800</v>
      </c>
    </row>
    <row r="23" spans="1:21">
      <c r="A23" s="50" t="s">
        <v>62</v>
      </c>
      <c r="B23" s="50" t="s">
        <v>142</v>
      </c>
      <c r="C23" s="66">
        <v>0</v>
      </c>
      <c r="D23" s="66">
        <v>0</v>
      </c>
      <c r="E23" s="66">
        <v>50000</v>
      </c>
      <c r="F23" s="66">
        <v>50000</v>
      </c>
      <c r="G23" s="66">
        <v>50000</v>
      </c>
      <c r="H23" s="66">
        <v>50000</v>
      </c>
      <c r="I23" s="66">
        <v>50000</v>
      </c>
      <c r="J23" s="66">
        <v>50000</v>
      </c>
      <c r="K23" s="66">
        <v>50000</v>
      </c>
      <c r="L23" s="66">
        <v>50000</v>
      </c>
      <c r="M23" s="66">
        <v>50000</v>
      </c>
      <c r="N23" s="66">
        <v>50000</v>
      </c>
      <c r="O23" s="66">
        <f t="shared" si="0"/>
        <v>500000</v>
      </c>
    </row>
    <row r="24" spans="1:21">
      <c r="A24" s="50" t="s">
        <v>62</v>
      </c>
      <c r="B24" s="50" t="s">
        <v>140</v>
      </c>
      <c r="C24" s="66">
        <v>0</v>
      </c>
      <c r="D24" s="66">
        <v>0</v>
      </c>
      <c r="E24" s="66">
        <v>1000</v>
      </c>
      <c r="F24" s="66">
        <v>2000</v>
      </c>
      <c r="G24" s="66">
        <v>5000</v>
      </c>
      <c r="H24" s="66">
        <v>7000</v>
      </c>
      <c r="I24" s="66">
        <v>7000</v>
      </c>
      <c r="J24" s="66">
        <v>7000</v>
      </c>
      <c r="K24" s="66">
        <v>7000</v>
      </c>
      <c r="L24" s="66">
        <v>7000</v>
      </c>
      <c r="M24" s="66">
        <v>7000</v>
      </c>
      <c r="N24" s="66">
        <v>7000</v>
      </c>
      <c r="O24" s="66">
        <f t="shared" si="0"/>
        <v>57000</v>
      </c>
    </row>
    <row r="25" spans="1:21">
      <c r="A25" s="50" t="s">
        <v>62</v>
      </c>
      <c r="B25" s="50"/>
      <c r="C25" s="66">
        <v>0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f t="shared" si="0"/>
        <v>0</v>
      </c>
    </row>
    <row r="26" spans="1:21">
      <c r="A26" s="50" t="s">
        <v>62</v>
      </c>
      <c r="B26" s="50"/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f t="shared" si="0"/>
        <v>0</v>
      </c>
    </row>
    <row r="27" spans="1:21">
      <c r="A27" s="50" t="s">
        <v>62</v>
      </c>
      <c r="B27" s="50"/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f t="shared" si="0"/>
        <v>0</v>
      </c>
    </row>
    <row r="28" spans="1:21">
      <c r="A28" s="50" t="s">
        <v>62</v>
      </c>
      <c r="B28" s="50"/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f t="shared" si="0"/>
        <v>0</v>
      </c>
    </row>
    <row r="29" spans="1:21">
      <c r="A29" s="50" t="s">
        <v>62</v>
      </c>
      <c r="B29" s="50"/>
      <c r="C29" s="66">
        <v>0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f t="shared" si="0"/>
        <v>0</v>
      </c>
    </row>
    <row r="30" spans="1:21">
      <c r="A30" s="50" t="s">
        <v>62</v>
      </c>
      <c r="B30" s="50"/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f t="shared" si="0"/>
        <v>0</v>
      </c>
    </row>
    <row r="31" spans="1:21">
      <c r="A31" s="51" t="s">
        <v>62</v>
      </c>
      <c r="B31" s="51"/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f t="shared" si="0"/>
        <v>0</v>
      </c>
    </row>
    <row r="32" spans="1:21">
      <c r="A32" s="68" t="s">
        <v>62</v>
      </c>
      <c r="B32" s="68" t="s">
        <v>82</v>
      </c>
      <c r="C32" s="70">
        <f>SUM(C19:C31)</f>
        <v>405000</v>
      </c>
      <c r="D32" s="70">
        <f>SUM(D19:D31)</f>
        <v>220800</v>
      </c>
      <c r="E32" s="70">
        <f>SUM(E19:E31)</f>
        <v>282000</v>
      </c>
      <c r="F32" s="70">
        <f>SUM(F19:F31)</f>
        <v>286060</v>
      </c>
      <c r="G32" s="70">
        <f>SUM(G19:G31)</f>
        <v>290692</v>
      </c>
      <c r="H32" s="70">
        <f>SUM(H19:H31)</f>
        <v>294392</v>
      </c>
      <c r="I32" s="70">
        <f>SUM(I19:I31)</f>
        <v>295684</v>
      </c>
      <c r="J32" s="70">
        <f>SUM(J19:J31)</f>
        <v>296704</v>
      </c>
      <c r="K32" s="70">
        <f>SUM(K19:K31)</f>
        <v>297452</v>
      </c>
      <c r="L32" s="70">
        <f>SUM(L19:L31)</f>
        <v>298064</v>
      </c>
      <c r="M32" s="70">
        <f>SUM(M19:M31)</f>
        <v>298472</v>
      </c>
      <c r="N32" s="70">
        <f>SUM(N19:N31)</f>
        <v>298812</v>
      </c>
      <c r="O32" s="70">
        <f t="shared" si="0"/>
        <v>3564132</v>
      </c>
      <c r="P32" s="71"/>
      <c r="Q32" s="71"/>
      <c r="R32" s="71"/>
      <c r="S32" s="71"/>
      <c r="T32" s="71"/>
      <c r="U32" s="71"/>
    </row>
    <row r="33" spans="1:21">
      <c r="A33" s="50" t="s">
        <v>63</v>
      </c>
      <c r="B33" s="74" t="s">
        <v>94</v>
      </c>
      <c r="C33" s="66">
        <v>45000</v>
      </c>
      <c r="D33" s="66">
        <v>45000</v>
      </c>
      <c r="E33" s="66">
        <v>45000</v>
      </c>
      <c r="F33" s="66">
        <v>45000</v>
      </c>
      <c r="G33" s="66">
        <v>45000</v>
      </c>
      <c r="H33" s="66">
        <v>45000</v>
      </c>
      <c r="I33" s="66">
        <v>45000</v>
      </c>
      <c r="J33" s="66">
        <v>45000</v>
      </c>
      <c r="K33" s="66">
        <v>45000</v>
      </c>
      <c r="L33" s="66">
        <v>45000</v>
      </c>
      <c r="M33" s="66">
        <v>45000</v>
      </c>
      <c r="N33" s="66">
        <v>45000</v>
      </c>
      <c r="O33" s="66">
        <f t="shared" si="0"/>
        <v>540000</v>
      </c>
    </row>
    <row r="34" spans="1:21">
      <c r="A34" s="50" t="s">
        <v>63</v>
      </c>
      <c r="B34" s="78" t="s">
        <v>93</v>
      </c>
      <c r="C34" s="66">
        <v>27500</v>
      </c>
      <c r="D34" s="66">
        <v>27500</v>
      </c>
      <c r="E34" s="66">
        <v>27500</v>
      </c>
      <c r="F34" s="66">
        <v>27500</v>
      </c>
      <c r="G34" s="66">
        <v>27500</v>
      </c>
      <c r="H34" s="66">
        <v>27500</v>
      </c>
      <c r="I34" s="66">
        <v>27500</v>
      </c>
      <c r="J34" s="66">
        <v>27500</v>
      </c>
      <c r="K34" s="66">
        <v>27500</v>
      </c>
      <c r="L34" s="66">
        <v>27500</v>
      </c>
      <c r="M34" s="66">
        <v>27500</v>
      </c>
      <c r="N34" s="66">
        <v>27500</v>
      </c>
      <c r="O34" s="66">
        <f t="shared" si="0"/>
        <v>330000</v>
      </c>
    </row>
    <row r="35" spans="1:21">
      <c r="A35" s="50" t="s">
        <v>63</v>
      </c>
      <c r="B35" s="74" t="s">
        <v>102</v>
      </c>
      <c r="C35" s="66">
        <v>0</v>
      </c>
      <c r="D35" s="66">
        <v>11000</v>
      </c>
      <c r="E35" s="66">
        <v>11000</v>
      </c>
      <c r="F35" s="66">
        <v>11000</v>
      </c>
      <c r="G35" s="66">
        <v>11000</v>
      </c>
      <c r="H35" s="66">
        <v>11000</v>
      </c>
      <c r="I35" s="66">
        <v>11000</v>
      </c>
      <c r="J35" s="66">
        <v>11000</v>
      </c>
      <c r="K35" s="66">
        <v>11000</v>
      </c>
      <c r="L35" s="66">
        <v>11000</v>
      </c>
      <c r="M35" s="66">
        <v>11000</v>
      </c>
      <c r="N35" s="66">
        <v>11000</v>
      </c>
      <c r="O35" s="66">
        <f t="shared" si="0"/>
        <v>121000</v>
      </c>
    </row>
    <row r="36" spans="1:21">
      <c r="A36" s="50" t="s">
        <v>63</v>
      </c>
      <c r="B36" s="50"/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f t="shared" si="0"/>
        <v>0</v>
      </c>
    </row>
    <row r="37" spans="1:21">
      <c r="A37" s="50" t="s">
        <v>63</v>
      </c>
      <c r="B37" s="50"/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f t="shared" si="0"/>
        <v>0</v>
      </c>
    </row>
    <row r="38" spans="1:21">
      <c r="A38" s="68" t="s">
        <v>63</v>
      </c>
      <c r="B38" s="68" t="s">
        <v>82</v>
      </c>
      <c r="C38" s="70">
        <f t="shared" ref="C38:N38" si="6">SUM(C33:C37)</f>
        <v>72500</v>
      </c>
      <c r="D38" s="70">
        <f t="shared" si="6"/>
        <v>83500</v>
      </c>
      <c r="E38" s="70">
        <f t="shared" si="6"/>
        <v>83500</v>
      </c>
      <c r="F38" s="70">
        <f t="shared" si="6"/>
        <v>83500</v>
      </c>
      <c r="G38" s="70">
        <f t="shared" si="6"/>
        <v>83500</v>
      </c>
      <c r="H38" s="70">
        <f t="shared" si="6"/>
        <v>83500</v>
      </c>
      <c r="I38" s="70">
        <f t="shared" si="6"/>
        <v>83500</v>
      </c>
      <c r="J38" s="70">
        <f t="shared" si="6"/>
        <v>83500</v>
      </c>
      <c r="K38" s="70">
        <f t="shared" si="6"/>
        <v>83500</v>
      </c>
      <c r="L38" s="70">
        <f t="shared" si="6"/>
        <v>83500</v>
      </c>
      <c r="M38" s="70">
        <f t="shared" si="6"/>
        <v>83500</v>
      </c>
      <c r="N38" s="70">
        <f t="shared" si="6"/>
        <v>83500</v>
      </c>
      <c r="O38" s="70">
        <f t="shared" si="0"/>
        <v>991000</v>
      </c>
      <c r="P38" s="71"/>
      <c r="Q38" s="71"/>
      <c r="R38" s="71"/>
      <c r="S38" s="71"/>
      <c r="T38" s="71"/>
      <c r="U38" s="71"/>
    </row>
    <row r="39" spans="1:21">
      <c r="A39" s="68" t="s">
        <v>64</v>
      </c>
      <c r="B39" s="68" t="s">
        <v>82</v>
      </c>
      <c r="C39" s="70">
        <v>10000</v>
      </c>
      <c r="D39" s="70">
        <v>10000</v>
      </c>
      <c r="E39" s="70">
        <v>10000</v>
      </c>
      <c r="F39" s="70">
        <v>10000</v>
      </c>
      <c r="G39" s="70">
        <v>10000</v>
      </c>
      <c r="H39" s="70">
        <v>10000</v>
      </c>
      <c r="I39" s="70">
        <v>10000</v>
      </c>
      <c r="J39" s="70">
        <v>10000</v>
      </c>
      <c r="K39" s="70">
        <v>10000</v>
      </c>
      <c r="L39" s="70">
        <v>10000</v>
      </c>
      <c r="M39" s="70">
        <v>10000</v>
      </c>
      <c r="N39" s="70">
        <v>10000</v>
      </c>
      <c r="O39" s="70">
        <f t="shared" si="0"/>
        <v>120000</v>
      </c>
      <c r="P39" s="71"/>
      <c r="Q39" s="71"/>
      <c r="R39" s="71"/>
      <c r="S39" s="71"/>
      <c r="T39" s="71"/>
      <c r="U39" s="71"/>
    </row>
    <row r="40" spans="1:21">
      <c r="A40" s="68" t="s">
        <v>65</v>
      </c>
      <c r="B40" s="68" t="s">
        <v>82</v>
      </c>
      <c r="C40" s="70">
        <v>10000</v>
      </c>
      <c r="D40" s="70">
        <v>10000</v>
      </c>
      <c r="E40" s="70">
        <v>10000</v>
      </c>
      <c r="F40" s="70">
        <v>10000</v>
      </c>
      <c r="G40" s="70">
        <v>10000</v>
      </c>
      <c r="H40" s="70">
        <v>10000</v>
      </c>
      <c r="I40" s="70">
        <v>10000</v>
      </c>
      <c r="J40" s="70">
        <v>10000</v>
      </c>
      <c r="K40" s="70">
        <v>10000</v>
      </c>
      <c r="L40" s="70">
        <v>10000</v>
      </c>
      <c r="M40" s="70">
        <v>10000</v>
      </c>
      <c r="N40" s="70">
        <v>10000</v>
      </c>
      <c r="O40" s="70">
        <f t="shared" si="0"/>
        <v>120000</v>
      </c>
      <c r="P40" s="71"/>
      <c r="Q40" s="71"/>
      <c r="R40" s="71"/>
      <c r="S40" s="71"/>
      <c r="T40" s="71"/>
      <c r="U40" s="71"/>
    </row>
    <row r="41" spans="1:21">
      <c r="A41" s="68" t="s">
        <v>66</v>
      </c>
      <c r="B41" s="68" t="s">
        <v>82</v>
      </c>
      <c r="C41" s="69">
        <f>'シミュレーション表（1年目） '!D50+'シミュレーション表（1年目） '!D51</f>
        <v>0</v>
      </c>
      <c r="D41" s="69">
        <f>'シミュレーション表（1年目） '!E50+'シミュレーション表（1年目） '!E51</f>
        <v>84600</v>
      </c>
      <c r="E41" s="69">
        <f>'シミュレーション表（1年目） '!F50+'シミュレーション表（1年目） '!F51</f>
        <v>152280</v>
      </c>
      <c r="F41" s="69">
        <f>'シミュレーション表（1年目） '!G50+'シミュレーション表（1年目） '!G51</f>
        <v>199280</v>
      </c>
      <c r="G41" s="69">
        <f>'シミュレーション表（1年目） '!H50+'シミュレーション表（1年目） '!H51</f>
        <v>236880</v>
      </c>
      <c r="H41" s="69">
        <f>'シミュレーション表（1年目） '!I50+'シミュレーション表（1年目） '!I51</f>
        <v>266960</v>
      </c>
      <c r="I41" s="69">
        <f>'シミュレーション表（1年目） '!J50+'シミュレーション表（1年目） '!J51</f>
        <v>290930</v>
      </c>
      <c r="J41" s="69">
        <f>'シミュレーション表（1年目） '!K50+'シミュレーション表（1年目） '!K51</f>
        <v>309730</v>
      </c>
      <c r="K41" s="69">
        <f>'シミュレーション表（1年目） '!L50+'シミュレーション表（1年目） '!L51</f>
        <v>324770</v>
      </c>
      <c r="L41" s="69">
        <f>'シミュレーション表（1年目） '!M50+'シミュレーション表（1年目） '!M51</f>
        <v>336520</v>
      </c>
      <c r="M41" s="69">
        <f>'シミュレーション表（1年目） '!N50+'シミュレーション表（1年目） '!N51</f>
        <v>345920</v>
      </c>
      <c r="N41" s="69">
        <f>'シミュレーション表（1年目） '!O50+'シミュレーション表（1年目） '!O51</f>
        <v>353440</v>
      </c>
      <c r="O41" s="70">
        <f t="shared" si="0"/>
        <v>2901310</v>
      </c>
      <c r="P41" s="71"/>
      <c r="Q41" s="71"/>
      <c r="R41" s="71"/>
      <c r="S41" s="71"/>
      <c r="T41" s="71"/>
      <c r="U41" s="71"/>
    </row>
    <row r="42" spans="1:21">
      <c r="A42" s="50" t="s">
        <v>67</v>
      </c>
      <c r="B42" s="74" t="s">
        <v>90</v>
      </c>
      <c r="C42" s="66">
        <v>7480</v>
      </c>
      <c r="D42" s="66">
        <v>7480</v>
      </c>
      <c r="E42" s="66">
        <v>7480</v>
      </c>
      <c r="F42" s="66">
        <v>7480</v>
      </c>
      <c r="G42" s="66">
        <v>7480</v>
      </c>
      <c r="H42" s="66">
        <v>7480</v>
      </c>
      <c r="I42" s="66">
        <v>7480</v>
      </c>
      <c r="J42" s="66">
        <v>7480</v>
      </c>
      <c r="K42" s="66">
        <v>7480</v>
      </c>
      <c r="L42" s="66">
        <v>7480</v>
      </c>
      <c r="M42" s="66">
        <v>7480</v>
      </c>
      <c r="N42" s="66">
        <v>7480</v>
      </c>
      <c r="O42" s="66">
        <f t="shared" si="0"/>
        <v>89760</v>
      </c>
    </row>
    <row r="43" spans="1:21">
      <c r="A43" s="50" t="s">
        <v>97</v>
      </c>
      <c r="B43" s="74" t="s">
        <v>101</v>
      </c>
      <c r="C43" s="66">
        <v>32780</v>
      </c>
      <c r="D43" s="66">
        <v>32780</v>
      </c>
      <c r="E43" s="66">
        <v>32780</v>
      </c>
      <c r="F43" s="66">
        <v>32780</v>
      </c>
      <c r="G43" s="66">
        <v>32780</v>
      </c>
      <c r="H43" s="66">
        <v>32780</v>
      </c>
      <c r="I43" s="66">
        <v>32780</v>
      </c>
      <c r="J43" s="66">
        <v>32780</v>
      </c>
      <c r="K43" s="66">
        <v>32780</v>
      </c>
      <c r="L43" s="66">
        <v>32780</v>
      </c>
      <c r="M43" s="66">
        <v>32780</v>
      </c>
      <c r="N43" s="66">
        <v>32780</v>
      </c>
      <c r="O43" s="66">
        <f t="shared" si="0"/>
        <v>393360</v>
      </c>
    </row>
    <row r="44" spans="1:21">
      <c r="A44" s="50" t="s">
        <v>97</v>
      </c>
      <c r="B44" s="74" t="s">
        <v>100</v>
      </c>
      <c r="C44" s="66">
        <v>5000</v>
      </c>
      <c r="D44" s="66">
        <v>5000</v>
      </c>
      <c r="E44" s="66">
        <v>5000</v>
      </c>
      <c r="F44" s="66">
        <v>5000</v>
      </c>
      <c r="G44" s="66">
        <v>5000</v>
      </c>
      <c r="H44" s="66">
        <v>5000</v>
      </c>
      <c r="I44" s="66">
        <v>5000</v>
      </c>
      <c r="J44" s="66">
        <v>5000</v>
      </c>
      <c r="K44" s="66">
        <v>5000</v>
      </c>
      <c r="L44" s="66">
        <v>5000</v>
      </c>
      <c r="M44" s="66">
        <v>5000</v>
      </c>
      <c r="N44" s="66">
        <v>5000</v>
      </c>
      <c r="O44" s="66">
        <f t="shared" si="0"/>
        <v>60000</v>
      </c>
    </row>
    <row r="45" spans="1:21">
      <c r="A45" s="50" t="s">
        <v>67</v>
      </c>
      <c r="B45" s="78" t="s">
        <v>91</v>
      </c>
      <c r="C45" s="66">
        <v>66000</v>
      </c>
      <c r="D45" s="66">
        <v>66000</v>
      </c>
      <c r="E45" s="66">
        <v>66000</v>
      </c>
      <c r="F45" s="66">
        <v>66000</v>
      </c>
      <c r="G45" s="66">
        <v>66000</v>
      </c>
      <c r="H45" s="66">
        <v>66000</v>
      </c>
      <c r="I45" s="66">
        <v>66000</v>
      </c>
      <c r="J45" s="66">
        <v>66000</v>
      </c>
      <c r="K45" s="66">
        <v>66000</v>
      </c>
      <c r="L45" s="66">
        <v>66000</v>
      </c>
      <c r="M45" s="66">
        <v>66000</v>
      </c>
      <c r="N45" s="66">
        <v>66000</v>
      </c>
      <c r="O45" s="66">
        <f t="shared" si="0"/>
        <v>792000</v>
      </c>
    </row>
    <row r="46" spans="1:21">
      <c r="A46" s="50" t="s">
        <v>97</v>
      </c>
      <c r="B46" s="78" t="s">
        <v>99</v>
      </c>
      <c r="C46" s="66">
        <v>110000</v>
      </c>
      <c r="D46" s="66">
        <v>110000</v>
      </c>
      <c r="E46" s="66">
        <v>110000</v>
      </c>
      <c r="F46" s="66">
        <v>110000</v>
      </c>
      <c r="G46" s="66">
        <v>110000</v>
      </c>
      <c r="H46" s="66">
        <v>110000</v>
      </c>
      <c r="I46" s="66">
        <v>110000</v>
      </c>
      <c r="J46" s="66">
        <v>110000</v>
      </c>
      <c r="K46" s="66">
        <v>110000</v>
      </c>
      <c r="L46" s="66">
        <v>110000</v>
      </c>
      <c r="M46" s="66">
        <v>110000</v>
      </c>
      <c r="N46" s="66">
        <v>110000</v>
      </c>
      <c r="O46" s="66">
        <f t="shared" si="0"/>
        <v>1320000</v>
      </c>
    </row>
    <row r="47" spans="1:21">
      <c r="A47" s="50" t="s">
        <v>97</v>
      </c>
      <c r="B47" s="78" t="s">
        <v>98</v>
      </c>
      <c r="C47" s="66">
        <v>9000</v>
      </c>
      <c r="D47" s="66">
        <v>9000</v>
      </c>
      <c r="E47" s="66">
        <v>9000</v>
      </c>
      <c r="F47" s="66">
        <v>9000</v>
      </c>
      <c r="G47" s="66">
        <v>9000</v>
      </c>
      <c r="H47" s="66">
        <v>9000</v>
      </c>
      <c r="I47" s="66">
        <v>9000</v>
      </c>
      <c r="J47" s="66">
        <v>9000</v>
      </c>
      <c r="K47" s="66">
        <v>9000</v>
      </c>
      <c r="L47" s="66">
        <v>9000</v>
      </c>
      <c r="M47" s="66">
        <v>9000</v>
      </c>
      <c r="N47" s="66">
        <v>9000</v>
      </c>
      <c r="O47" s="66">
        <f t="shared" si="0"/>
        <v>108000</v>
      </c>
    </row>
    <row r="48" spans="1:21">
      <c r="A48" s="50" t="s">
        <v>67</v>
      </c>
      <c r="B48" s="74" t="s">
        <v>92</v>
      </c>
      <c r="C48" s="66">
        <v>20000</v>
      </c>
      <c r="D48" s="66">
        <v>20000</v>
      </c>
      <c r="E48" s="66">
        <v>20000</v>
      </c>
      <c r="F48" s="66">
        <v>20000</v>
      </c>
      <c r="G48" s="66">
        <v>20000</v>
      </c>
      <c r="H48" s="66">
        <v>20000</v>
      </c>
      <c r="I48" s="66">
        <v>20000</v>
      </c>
      <c r="J48" s="66">
        <v>20000</v>
      </c>
      <c r="K48" s="66">
        <v>20000</v>
      </c>
      <c r="L48" s="66">
        <v>20000</v>
      </c>
      <c r="M48" s="66">
        <v>20000</v>
      </c>
      <c r="N48" s="66">
        <v>20000</v>
      </c>
      <c r="O48" s="66">
        <f t="shared" si="0"/>
        <v>240000</v>
      </c>
    </row>
    <row r="49" spans="1:21">
      <c r="A49" s="68" t="s">
        <v>67</v>
      </c>
      <c r="B49" s="68" t="s">
        <v>82</v>
      </c>
      <c r="C49" s="70">
        <f t="shared" ref="C49:N49" si="7">SUM(C42:C48)</f>
        <v>250260</v>
      </c>
      <c r="D49" s="70">
        <f t="shared" si="7"/>
        <v>250260</v>
      </c>
      <c r="E49" s="70">
        <f t="shared" si="7"/>
        <v>250260</v>
      </c>
      <c r="F49" s="70">
        <f t="shared" si="7"/>
        <v>250260</v>
      </c>
      <c r="G49" s="70">
        <f t="shared" si="7"/>
        <v>250260</v>
      </c>
      <c r="H49" s="70">
        <f t="shared" si="7"/>
        <v>250260</v>
      </c>
      <c r="I49" s="70">
        <f t="shared" si="7"/>
        <v>250260</v>
      </c>
      <c r="J49" s="70">
        <f t="shared" si="7"/>
        <v>250260</v>
      </c>
      <c r="K49" s="70">
        <f t="shared" si="7"/>
        <v>250260</v>
      </c>
      <c r="L49" s="70">
        <f t="shared" si="7"/>
        <v>250260</v>
      </c>
      <c r="M49" s="70">
        <f t="shared" si="7"/>
        <v>250260</v>
      </c>
      <c r="N49" s="70">
        <f t="shared" si="7"/>
        <v>250260</v>
      </c>
      <c r="O49" s="70">
        <f t="shared" si="0"/>
        <v>3003120</v>
      </c>
      <c r="P49" s="71"/>
      <c r="Q49" s="71"/>
      <c r="R49" s="71"/>
      <c r="S49" s="71"/>
      <c r="T49" s="71"/>
      <c r="U49" s="71"/>
    </row>
    <row r="50" spans="1:21">
      <c r="A50" s="73" t="s">
        <v>68</v>
      </c>
      <c r="B50" s="68" t="s">
        <v>82</v>
      </c>
      <c r="C50" s="70">
        <f>'シミュレーション表（1年目） '!D46*0.03</f>
        <v>5292</v>
      </c>
      <c r="D50" s="70">
        <f>'シミュレーション表（1年目） '!E46*0.03</f>
        <v>5292</v>
      </c>
      <c r="E50" s="70">
        <f>'シミュレーション表（1年目） '!F46*0.03</f>
        <v>18165.599999999999</v>
      </c>
      <c r="F50" s="70">
        <f>'シミュレーション表（1年目） '!G46*0.03</f>
        <v>27105.599999999999</v>
      </c>
      <c r="G50" s="70">
        <f>'シミュレーション表（1年目） '!H46*0.03</f>
        <v>34257.599999999999</v>
      </c>
      <c r="H50" s="70">
        <f>'シミュレーション表（1年目） '!I46*0.03</f>
        <v>39979.199999999997</v>
      </c>
      <c r="I50" s="70">
        <f>'シミュレーション表（1年目） '!J46*0.03</f>
        <v>44538.6</v>
      </c>
      <c r="J50" s="70">
        <f>'シミュレーション表（1年目） '!K46*0.03</f>
        <v>48114.6</v>
      </c>
      <c r="K50" s="70">
        <f>'シミュレーション表（1年目） '!L46*0.03</f>
        <v>50975.4</v>
      </c>
      <c r="L50" s="70">
        <f>'シミュレーション表（1年目） '!M46*0.03</f>
        <v>53210.400000000001</v>
      </c>
      <c r="M50" s="70">
        <f>'シミュレーション表（1年目） '!N46*0.03</f>
        <v>54998.400000000001</v>
      </c>
      <c r="N50" s="70">
        <f>'シミュレーション表（1年目） '!O46*0.03</f>
        <v>56428.799999999996</v>
      </c>
      <c r="O50" s="70">
        <f t="shared" si="0"/>
        <v>438358.2</v>
      </c>
      <c r="P50" s="71"/>
      <c r="Q50" s="71"/>
      <c r="R50" s="71"/>
      <c r="S50" s="71"/>
      <c r="T50" s="71"/>
      <c r="U50" s="71"/>
    </row>
    <row r="51" spans="1:21">
      <c r="A51" s="68" t="s">
        <v>69</v>
      </c>
      <c r="B51" s="68" t="s">
        <v>82</v>
      </c>
      <c r="C51" s="70">
        <v>0</v>
      </c>
      <c r="D51" s="70">
        <v>0</v>
      </c>
      <c r="E51" s="70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f t="shared" si="0"/>
        <v>0</v>
      </c>
      <c r="P51" s="71"/>
      <c r="Q51" s="71"/>
      <c r="R51" s="71"/>
      <c r="S51" s="71"/>
      <c r="T51" s="71"/>
      <c r="U51" s="71"/>
    </row>
    <row r="52" spans="1:21">
      <c r="A52" s="68" t="s">
        <v>70</v>
      </c>
      <c r="B52" s="68" t="s">
        <v>82</v>
      </c>
      <c r="C52" s="70">
        <v>10000</v>
      </c>
      <c r="D52" s="70">
        <v>10000</v>
      </c>
      <c r="E52" s="70">
        <v>10000</v>
      </c>
      <c r="F52" s="70">
        <v>10000</v>
      </c>
      <c r="G52" s="70">
        <v>10000</v>
      </c>
      <c r="H52" s="70">
        <v>10000</v>
      </c>
      <c r="I52" s="70">
        <v>10000</v>
      </c>
      <c r="J52" s="70">
        <v>10000</v>
      </c>
      <c r="K52" s="70">
        <v>10000</v>
      </c>
      <c r="L52" s="70">
        <v>10000</v>
      </c>
      <c r="M52" s="70">
        <v>10000</v>
      </c>
      <c r="N52" s="70">
        <v>10000</v>
      </c>
      <c r="O52" s="70">
        <f t="shared" si="0"/>
        <v>120000</v>
      </c>
      <c r="P52" s="71"/>
      <c r="Q52" s="71"/>
      <c r="R52" s="71"/>
      <c r="S52" s="71"/>
      <c r="T52" s="71"/>
      <c r="U52" s="71"/>
    </row>
    <row r="53" spans="1:21">
      <c r="A53" s="68" t="s">
        <v>71</v>
      </c>
      <c r="B53" s="68" t="s">
        <v>82</v>
      </c>
      <c r="C53" s="70">
        <v>33000</v>
      </c>
      <c r="D53" s="70">
        <v>33000</v>
      </c>
      <c r="E53" s="70">
        <v>33000</v>
      </c>
      <c r="F53" s="70">
        <v>33000</v>
      </c>
      <c r="G53" s="70">
        <v>33000</v>
      </c>
      <c r="H53" s="70">
        <v>33000</v>
      </c>
      <c r="I53" s="70">
        <v>33000</v>
      </c>
      <c r="J53" s="70">
        <v>33000</v>
      </c>
      <c r="K53" s="70">
        <v>33000</v>
      </c>
      <c r="L53" s="70">
        <v>33000</v>
      </c>
      <c r="M53" s="70">
        <v>33000</v>
      </c>
      <c r="N53" s="70">
        <v>33000</v>
      </c>
      <c r="O53" s="70">
        <f t="shared" si="0"/>
        <v>396000</v>
      </c>
      <c r="P53" s="71"/>
      <c r="Q53" s="71"/>
      <c r="R53" s="71"/>
      <c r="S53" s="71"/>
      <c r="T53" s="71"/>
      <c r="U53" s="71"/>
    </row>
    <row r="54" spans="1:21">
      <c r="A54" s="80" t="s">
        <v>103</v>
      </c>
      <c r="B54" s="68" t="s">
        <v>82</v>
      </c>
      <c r="C54" s="70">
        <v>10000</v>
      </c>
      <c r="D54" s="70">
        <v>10000</v>
      </c>
      <c r="E54" s="70">
        <v>10000</v>
      </c>
      <c r="F54" s="70">
        <v>10000</v>
      </c>
      <c r="G54" s="70">
        <v>10000</v>
      </c>
      <c r="H54" s="70">
        <v>10000</v>
      </c>
      <c r="I54" s="70">
        <v>10000</v>
      </c>
      <c r="J54" s="70">
        <v>10000</v>
      </c>
      <c r="K54" s="70">
        <v>10000</v>
      </c>
      <c r="L54" s="70">
        <v>10000</v>
      </c>
      <c r="M54" s="70">
        <v>10000</v>
      </c>
      <c r="N54" s="70">
        <v>10000</v>
      </c>
      <c r="O54" s="70">
        <f t="shared" si="0"/>
        <v>120000</v>
      </c>
      <c r="P54" s="71"/>
      <c r="Q54" s="71"/>
      <c r="R54" s="71"/>
      <c r="S54" s="71"/>
      <c r="T54" s="71"/>
      <c r="U54" s="71"/>
    </row>
    <row r="55" spans="1:21" ht="15" customHeight="1">
      <c r="A55" s="51" t="s">
        <v>73</v>
      </c>
      <c r="B55" s="50"/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f t="shared" si="0"/>
        <v>0</v>
      </c>
    </row>
    <row r="56" spans="1:21" ht="15" customHeight="1">
      <c r="A56" s="51" t="s">
        <v>73</v>
      </c>
      <c r="B56" s="50"/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f t="shared" si="0"/>
        <v>0</v>
      </c>
    </row>
    <row r="57" spans="1:21">
      <c r="A57" s="51" t="s">
        <v>73</v>
      </c>
      <c r="B57" s="74"/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f t="shared" si="0"/>
        <v>0</v>
      </c>
    </row>
    <row r="58" spans="1:21">
      <c r="A58" s="51" t="s">
        <v>73</v>
      </c>
      <c r="B58" s="74"/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f t="shared" si="0"/>
        <v>0</v>
      </c>
    </row>
    <row r="59" spans="1:21">
      <c r="A59" s="73" t="s">
        <v>73</v>
      </c>
      <c r="B59" s="73" t="s">
        <v>82</v>
      </c>
      <c r="C59" s="70">
        <f t="shared" ref="C59:N59" si="8">SUM(C55:C58)</f>
        <v>0</v>
      </c>
      <c r="D59" s="70">
        <f t="shared" si="8"/>
        <v>0</v>
      </c>
      <c r="E59" s="70">
        <f t="shared" si="8"/>
        <v>0</v>
      </c>
      <c r="F59" s="70">
        <f t="shared" si="8"/>
        <v>0</v>
      </c>
      <c r="G59" s="70">
        <f t="shared" si="8"/>
        <v>0</v>
      </c>
      <c r="H59" s="70">
        <f t="shared" si="8"/>
        <v>0</v>
      </c>
      <c r="I59" s="70">
        <f t="shared" si="8"/>
        <v>0</v>
      </c>
      <c r="J59" s="70">
        <f t="shared" si="8"/>
        <v>0</v>
      </c>
      <c r="K59" s="70">
        <f t="shared" si="8"/>
        <v>0</v>
      </c>
      <c r="L59" s="70">
        <f t="shared" si="8"/>
        <v>0</v>
      </c>
      <c r="M59" s="70">
        <f t="shared" si="8"/>
        <v>0</v>
      </c>
      <c r="N59" s="70">
        <f t="shared" si="8"/>
        <v>0</v>
      </c>
      <c r="O59" s="70">
        <f t="shared" si="0"/>
        <v>0</v>
      </c>
      <c r="P59" s="71"/>
      <c r="Q59" s="71"/>
      <c r="R59" s="71"/>
      <c r="S59" s="71"/>
      <c r="T59" s="71"/>
      <c r="U59" s="71"/>
    </row>
    <row r="60" spans="1:21">
      <c r="A60" s="75" t="s">
        <v>55</v>
      </c>
      <c r="B60" s="75" t="s">
        <v>84</v>
      </c>
      <c r="C60" s="76">
        <f>C54+C53+C52+C51+C49+C41+C40+C39+C38+C32+C18+C12+C11+C9+C6+C59+C50</f>
        <v>1706052</v>
      </c>
      <c r="D60" s="76">
        <f>D54+D53+D52+D51+D49+D41+D40+D39+D38+D32+D18+D12+D11+D9+D6+D59+D50</f>
        <v>1617452</v>
      </c>
      <c r="E60" s="76">
        <f>E54+E53+E52+E51+E49+E41+E40+E39+E38+E32+E18+E12+E11+E9+E6+E59+E50</f>
        <v>1759205.6</v>
      </c>
      <c r="F60" s="76">
        <f>F54+F53+F52+F51+F49+F41+F40+F39+F38+F32+F18+F12+F11+F9+F6+F59+F50</f>
        <v>1819205.6</v>
      </c>
      <c r="G60" s="76">
        <f>G54+G53+G52+G51+G49+G41+G40+G39+G38+G32+G18+G12+G11+G9+G6+G59+G50</f>
        <v>1868589.6</v>
      </c>
      <c r="H60" s="76">
        <f>H54+H53+H52+H51+H49+H41+H40+H39+H38+H32+H18+H12+H11+H9+H6+H59+H50</f>
        <v>1908091.2</v>
      </c>
      <c r="I60" s="76">
        <f>I54+I53+I52+I51+I49+I41+I40+I39+I38+I32+I18+I12+I11+I9+I6+I59+I50</f>
        <v>1937912.6</v>
      </c>
      <c r="J60" s="76">
        <f>J54+J53+J52+J51+J49+J41+J40+J39+J38+J32+J18+J12+J11+J9+J6+J59+J50</f>
        <v>1961308.6</v>
      </c>
      <c r="K60" s="76">
        <f>K54+K53+K52+K51+K49+K41+K40+K39+K38+K32+K18+K12+K11+K9+K6+K59+K50</f>
        <v>1979957.4</v>
      </c>
      <c r="L60" s="76">
        <f>L54+L53+L52+L51+L49+L41+L40+L39+L38+L32+L18+L12+L11+L9+L6+L59+L50</f>
        <v>1994554.4</v>
      </c>
      <c r="M60" s="76">
        <f>M54+M53+M52+M51+M49+M41+M40+M39+M38+M32+M18+M12+M11+M9+M6+M59+M50</f>
        <v>2006150.4</v>
      </c>
      <c r="N60" s="76">
        <f>N54+N53+N52+N51+N49+N41+N40+N39+N38+N32+N18+N12+N11+N9+N6+N59+N50</f>
        <v>2015440.8</v>
      </c>
      <c r="O60" s="76">
        <f t="shared" si="0"/>
        <v>22573920.199999996</v>
      </c>
    </row>
    <row r="62" spans="1:21">
      <c r="B62" s="52"/>
      <c r="C62" s="52"/>
    </row>
    <row r="63" spans="1:21">
      <c r="B63" s="52"/>
      <c r="C63" s="77"/>
      <c r="D63" s="64"/>
    </row>
    <row r="64" spans="1:21">
      <c r="B64" s="52"/>
      <c r="C64" s="77"/>
    </row>
    <row r="65" spans="2:3">
      <c r="B65" s="52"/>
      <c r="C65" s="77"/>
    </row>
    <row r="66" spans="2:3">
      <c r="B66" s="52"/>
      <c r="C66" s="77"/>
    </row>
    <row r="67" spans="2:3">
      <c r="B67" s="52"/>
      <c r="C67" s="77"/>
    </row>
    <row r="68" spans="2:3" ht="14">
      <c r="C68" s="67"/>
    </row>
  </sheetData>
  <mergeCells count="1">
    <mergeCell ref="A1:B2"/>
  </mergeCells>
  <phoneticPr fontId="2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604C-D4EE-41EF-9106-412971BAC22C}">
  <sheetPr>
    <pageSetUpPr fitToPage="1"/>
  </sheetPr>
  <dimension ref="B1:BC53"/>
  <sheetViews>
    <sheetView zoomScale="113" zoomScaleNormal="113" workbookViewId="0">
      <selection activeCell="H30" sqref="H30"/>
    </sheetView>
  </sheetViews>
  <sheetFormatPr baseColWidth="10" defaultColWidth="9" defaultRowHeight="14"/>
  <cols>
    <col min="1" max="1" width="3.6640625" customWidth="1"/>
    <col min="3" max="3" width="12.1640625" customWidth="1"/>
    <col min="4" max="4" width="12.5" customWidth="1"/>
    <col min="5" max="5" width="11.33203125" bestFit="1" customWidth="1"/>
    <col min="6" max="6" width="12.1640625" customWidth="1"/>
    <col min="7" max="7" width="11.83203125" customWidth="1"/>
    <col min="8" max="8" width="11.1640625" bestFit="1" customWidth="1"/>
    <col min="9" max="9" width="11.6640625" customWidth="1"/>
    <col min="10" max="15" width="11.33203125" bestFit="1" customWidth="1"/>
    <col min="16" max="16" width="12.1640625" bestFit="1" customWidth="1"/>
    <col min="19" max="19" width="10.33203125" bestFit="1" customWidth="1"/>
    <col min="52" max="52" width="12.1640625" bestFit="1" customWidth="1"/>
    <col min="55" max="55" width="10.33203125" bestFit="1" customWidth="1"/>
  </cols>
  <sheetData>
    <row r="1" spans="2:55">
      <c r="D1" s="13" t="s">
        <v>10</v>
      </c>
    </row>
    <row r="2" spans="2:55">
      <c r="B2" s="112" t="s">
        <v>2</v>
      </c>
      <c r="C2" s="112"/>
      <c r="D2" s="4">
        <v>3980</v>
      </c>
      <c r="F2" s="21" t="s">
        <v>28</v>
      </c>
      <c r="G2" s="114">
        <f>P46</f>
        <v>14435540</v>
      </c>
      <c r="H2" s="114"/>
    </row>
    <row r="3" spans="2:55">
      <c r="B3" s="112" t="s">
        <v>43</v>
      </c>
      <c r="C3" s="112"/>
      <c r="D3" s="23">
        <v>980</v>
      </c>
      <c r="F3" s="21" t="s">
        <v>29</v>
      </c>
      <c r="G3" s="114">
        <f>P52</f>
        <v>15560641</v>
      </c>
      <c r="H3" s="114"/>
    </row>
    <row r="4" spans="2:55">
      <c r="B4" s="112" t="s">
        <v>9</v>
      </c>
      <c r="C4" s="112"/>
      <c r="D4" s="23">
        <v>2980</v>
      </c>
      <c r="F4" s="22" t="s">
        <v>30</v>
      </c>
      <c r="G4" s="114">
        <f>P53</f>
        <v>-1125101</v>
      </c>
      <c r="H4" s="114"/>
    </row>
    <row r="5" spans="2:55">
      <c r="B5" s="112" t="s">
        <v>41</v>
      </c>
      <c r="C5" s="112"/>
      <c r="D5" s="23">
        <v>379</v>
      </c>
      <c r="E5" s="44" t="s">
        <v>51</v>
      </c>
    </row>
    <row r="6" spans="2:55">
      <c r="B6" s="113" t="s">
        <v>42</v>
      </c>
      <c r="C6" s="113"/>
      <c r="D6" s="14">
        <f>D5/D3</f>
        <v>0.38673469387755099</v>
      </c>
      <c r="F6" s="2" t="s">
        <v>20</v>
      </c>
      <c r="G6" s="2" t="s">
        <v>21</v>
      </c>
      <c r="H6" s="2" t="s">
        <v>17</v>
      </c>
      <c r="I6" s="2" t="s">
        <v>18</v>
      </c>
      <c r="J6" s="2" t="s">
        <v>31</v>
      </c>
      <c r="K6" s="2" t="s">
        <v>32</v>
      </c>
      <c r="L6" s="2" t="s">
        <v>33</v>
      </c>
      <c r="M6" s="2" t="s">
        <v>34</v>
      </c>
      <c r="N6" s="2" t="s">
        <v>35</v>
      </c>
      <c r="O6" s="2" t="s">
        <v>36</v>
      </c>
      <c r="P6" s="2" t="s">
        <v>37</v>
      </c>
      <c r="Q6" s="2" t="s">
        <v>38</v>
      </c>
      <c r="R6" s="2" t="s">
        <v>39</v>
      </c>
      <c r="S6" s="2" t="s">
        <v>22</v>
      </c>
    </row>
    <row r="7" spans="2:55">
      <c r="B7" s="113" t="s">
        <v>11</v>
      </c>
      <c r="C7" s="113"/>
      <c r="D7" s="14">
        <f>D5/D4</f>
        <v>0.12718120805369126</v>
      </c>
      <c r="F7" s="2" t="s">
        <v>19</v>
      </c>
      <c r="G7" s="41">
        <v>1</v>
      </c>
      <c r="H7" s="41">
        <v>0.8</v>
      </c>
      <c r="I7" s="41">
        <v>0.7</v>
      </c>
      <c r="J7" s="41">
        <v>0.8</v>
      </c>
      <c r="K7" s="41">
        <v>0.8</v>
      </c>
      <c r="L7" s="41">
        <v>0.8</v>
      </c>
      <c r="M7" s="41">
        <v>0.8</v>
      </c>
      <c r="N7" s="41">
        <v>0.8</v>
      </c>
      <c r="O7" s="41">
        <v>0.8</v>
      </c>
      <c r="P7" s="41">
        <v>0.8</v>
      </c>
      <c r="Q7" s="41">
        <v>0.8</v>
      </c>
      <c r="R7" s="41">
        <v>0.8</v>
      </c>
      <c r="S7" s="5">
        <f>AVERAGE(G7:R7)</f>
        <v>0.80833333333333346</v>
      </c>
    </row>
    <row r="8" spans="2:55">
      <c r="B8" s="113" t="s">
        <v>12</v>
      </c>
      <c r="C8" s="113"/>
      <c r="D8" s="4">
        <v>1000</v>
      </c>
      <c r="F8" s="2" t="s">
        <v>15</v>
      </c>
      <c r="G8" s="2">
        <v>600</v>
      </c>
      <c r="H8" s="2">
        <f t="shared" ref="H8:R8" si="0">ROUNDDOWN(G8*H7,0)</f>
        <v>480</v>
      </c>
      <c r="I8" s="2">
        <f t="shared" si="0"/>
        <v>336</v>
      </c>
      <c r="J8" s="2">
        <f t="shared" si="0"/>
        <v>268</v>
      </c>
      <c r="K8" s="2">
        <f t="shared" si="0"/>
        <v>214</v>
      </c>
      <c r="L8" s="2">
        <f t="shared" si="0"/>
        <v>171</v>
      </c>
      <c r="M8" s="2">
        <f t="shared" si="0"/>
        <v>136</v>
      </c>
      <c r="N8" s="2">
        <f t="shared" si="0"/>
        <v>108</v>
      </c>
      <c r="O8" s="2">
        <f t="shared" si="0"/>
        <v>86</v>
      </c>
      <c r="P8" s="2">
        <f t="shared" si="0"/>
        <v>68</v>
      </c>
      <c r="Q8" s="2">
        <f>ROUNDDOWN(P8*Q7,0)</f>
        <v>54</v>
      </c>
      <c r="R8" s="2">
        <f t="shared" si="0"/>
        <v>43</v>
      </c>
      <c r="S8" s="2">
        <f>SUM(G8:R8)</f>
        <v>2564</v>
      </c>
    </row>
    <row r="9" spans="2:55">
      <c r="B9" s="113" t="s">
        <v>45</v>
      </c>
      <c r="C9" s="113"/>
      <c r="D9" s="24">
        <v>0.2</v>
      </c>
      <c r="F9" s="2" t="s">
        <v>16</v>
      </c>
      <c r="G9" s="42">
        <f>$G8*$D$3</f>
        <v>588000</v>
      </c>
      <c r="H9" s="42">
        <f>H8*$D$4</f>
        <v>1430400</v>
      </c>
      <c r="I9" s="42">
        <f>I8*$D$4</f>
        <v>1001280</v>
      </c>
      <c r="J9" s="42">
        <f t="shared" ref="J9:R9" si="1">J8*$D$4</f>
        <v>798640</v>
      </c>
      <c r="K9" s="42">
        <f t="shared" si="1"/>
        <v>637720</v>
      </c>
      <c r="L9" s="42">
        <f t="shared" si="1"/>
        <v>509580</v>
      </c>
      <c r="M9" s="42">
        <f t="shared" si="1"/>
        <v>405280</v>
      </c>
      <c r="N9" s="42">
        <f t="shared" si="1"/>
        <v>321840</v>
      </c>
      <c r="O9" s="42">
        <f t="shared" si="1"/>
        <v>256280</v>
      </c>
      <c r="P9" s="42">
        <f t="shared" si="1"/>
        <v>202640</v>
      </c>
      <c r="Q9" s="42">
        <f t="shared" si="1"/>
        <v>160920</v>
      </c>
      <c r="R9" s="42">
        <f t="shared" si="1"/>
        <v>128140</v>
      </c>
      <c r="S9" s="16">
        <f>SUM(G9:R9)</f>
        <v>6440720</v>
      </c>
    </row>
    <row r="10" spans="2:55">
      <c r="B10" s="113" t="s">
        <v>13</v>
      </c>
      <c r="C10" s="113"/>
      <c r="D10" s="24">
        <v>1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7"/>
    </row>
    <row r="11" spans="2:55">
      <c r="B11" s="113" t="s">
        <v>46</v>
      </c>
      <c r="C11" s="113"/>
      <c r="D11" s="4">
        <f>D8/D9</f>
        <v>5000</v>
      </c>
    </row>
    <row r="12" spans="2:55">
      <c r="B12" s="113" t="s">
        <v>14</v>
      </c>
      <c r="C12" s="113"/>
      <c r="D12" s="4">
        <f>D11/D10</f>
        <v>5000</v>
      </c>
      <c r="E12" s="44" t="s">
        <v>49</v>
      </c>
    </row>
    <row r="13" spans="2:55">
      <c r="B13" s="139" t="s">
        <v>155</v>
      </c>
      <c r="C13" s="140"/>
      <c r="D13" s="144">
        <v>0.1</v>
      </c>
      <c r="E13" s="44"/>
    </row>
    <row r="14" spans="2:55">
      <c r="B14" s="113" t="s">
        <v>23</v>
      </c>
      <c r="C14" s="113"/>
      <c r="D14" s="4">
        <f>S9/G8</f>
        <v>10734.533333333333</v>
      </c>
      <c r="E14" s="44" t="s">
        <v>52</v>
      </c>
    </row>
    <row r="15" spans="2:55">
      <c r="B15" s="113" t="s">
        <v>50</v>
      </c>
      <c r="C15" s="113"/>
      <c r="D15" s="15">
        <f>S8/G8</f>
        <v>4.2733333333333334</v>
      </c>
    </row>
    <row r="16" spans="2:55">
      <c r="B16" s="113" t="s">
        <v>3</v>
      </c>
      <c r="C16" s="113"/>
      <c r="D16" s="2">
        <v>340</v>
      </c>
      <c r="E16" s="44" t="s">
        <v>53</v>
      </c>
    </row>
    <row r="17" spans="2:16">
      <c r="B17" s="113" t="s">
        <v>40</v>
      </c>
      <c r="C17" s="113"/>
      <c r="D17" s="2">
        <v>370</v>
      </c>
    </row>
    <row r="18" spans="2:16">
      <c r="B18" s="113" t="s">
        <v>4</v>
      </c>
      <c r="C18" s="113"/>
      <c r="D18" s="2">
        <v>100</v>
      </c>
    </row>
    <row r="19" spans="2:16">
      <c r="B19" s="28"/>
      <c r="C19" s="28"/>
    </row>
    <row r="20" spans="2:16">
      <c r="B20" s="28"/>
      <c r="C20" s="28"/>
    </row>
    <row r="21" spans="2:16">
      <c r="B21" s="6"/>
      <c r="C21" s="6"/>
    </row>
    <row r="22" spans="2:16" ht="15" thickBot="1">
      <c r="B22" s="115"/>
      <c r="C22" s="115"/>
      <c r="D22" s="45">
        <v>45017</v>
      </c>
      <c r="E22" s="45">
        <v>45047</v>
      </c>
      <c r="F22" s="45">
        <v>45078</v>
      </c>
      <c r="G22" s="45">
        <v>45108</v>
      </c>
      <c r="H22" s="45">
        <v>45139</v>
      </c>
      <c r="I22" s="45">
        <v>45170</v>
      </c>
      <c r="J22" s="45">
        <v>45200</v>
      </c>
      <c r="K22" s="45">
        <v>45231</v>
      </c>
      <c r="L22" s="45">
        <v>45261</v>
      </c>
      <c r="M22" s="45">
        <v>45292</v>
      </c>
      <c r="N22" s="45">
        <v>45323</v>
      </c>
      <c r="O22" s="45">
        <v>45352</v>
      </c>
      <c r="P22" s="25" t="s">
        <v>1</v>
      </c>
    </row>
    <row r="23" spans="2:16" ht="15" thickTop="1">
      <c r="B23" s="116" t="s">
        <v>24</v>
      </c>
      <c r="C23" s="116"/>
      <c r="D23" s="31">
        <v>900</v>
      </c>
      <c r="E23" s="31">
        <v>900</v>
      </c>
      <c r="F23" s="31">
        <v>900</v>
      </c>
      <c r="G23" s="31">
        <v>900</v>
      </c>
      <c r="H23" s="31">
        <v>900</v>
      </c>
      <c r="I23" s="31">
        <v>900</v>
      </c>
      <c r="J23" s="31">
        <v>900</v>
      </c>
      <c r="K23" s="31">
        <v>900</v>
      </c>
      <c r="L23" s="31">
        <v>900</v>
      </c>
      <c r="M23" s="31">
        <v>900</v>
      </c>
      <c r="N23" s="31">
        <v>900</v>
      </c>
      <c r="O23" s="31">
        <v>900</v>
      </c>
      <c r="P23" s="1">
        <f t="shared" ref="P23:P42" si="2">SUM(E23:O23)</f>
        <v>9900</v>
      </c>
    </row>
    <row r="24" spans="2:16" ht="15" thickBot="1">
      <c r="B24" s="118" t="s">
        <v>47</v>
      </c>
      <c r="C24" s="118"/>
      <c r="D24" s="32">
        <f t="shared" ref="D24:O24" si="3">D23*$D$9</f>
        <v>180</v>
      </c>
      <c r="E24" s="32">
        <f t="shared" si="3"/>
        <v>180</v>
      </c>
      <c r="F24" s="32">
        <f t="shared" si="3"/>
        <v>180</v>
      </c>
      <c r="G24" s="32">
        <f t="shared" si="3"/>
        <v>180</v>
      </c>
      <c r="H24" s="32">
        <f t="shared" si="3"/>
        <v>180</v>
      </c>
      <c r="I24" s="32">
        <f t="shared" si="3"/>
        <v>180</v>
      </c>
      <c r="J24" s="32">
        <f t="shared" si="3"/>
        <v>180</v>
      </c>
      <c r="K24" s="32">
        <f t="shared" si="3"/>
        <v>180</v>
      </c>
      <c r="L24" s="32">
        <f t="shared" si="3"/>
        <v>180</v>
      </c>
      <c r="M24" s="32">
        <f t="shared" si="3"/>
        <v>180</v>
      </c>
      <c r="N24" s="32">
        <f t="shared" si="3"/>
        <v>180</v>
      </c>
      <c r="O24" s="32">
        <f t="shared" si="3"/>
        <v>180</v>
      </c>
      <c r="P24" s="7">
        <f t="shared" si="2"/>
        <v>1980</v>
      </c>
    </row>
    <row r="25" spans="2:16">
      <c r="B25" s="150" t="s">
        <v>159</v>
      </c>
      <c r="C25" s="151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34"/>
    </row>
    <row r="26" spans="2:16" ht="15" thickBot="1">
      <c r="B26" s="118" t="s">
        <v>160</v>
      </c>
      <c r="C26" s="118"/>
      <c r="D26" s="32">
        <f t="shared" ref="D26:O26" si="4">D24*$D$10</f>
        <v>180</v>
      </c>
      <c r="E26" s="32">
        <f t="shared" si="4"/>
        <v>180</v>
      </c>
      <c r="F26" s="32">
        <f t="shared" si="4"/>
        <v>180</v>
      </c>
      <c r="G26" s="32">
        <f t="shared" si="4"/>
        <v>180</v>
      </c>
      <c r="H26" s="32">
        <f t="shared" si="4"/>
        <v>180</v>
      </c>
      <c r="I26" s="32">
        <f t="shared" si="4"/>
        <v>180</v>
      </c>
      <c r="J26" s="32">
        <f t="shared" si="4"/>
        <v>180</v>
      </c>
      <c r="K26" s="32">
        <f t="shared" si="4"/>
        <v>180</v>
      </c>
      <c r="L26" s="32">
        <f t="shared" si="4"/>
        <v>180</v>
      </c>
      <c r="M26" s="32">
        <f t="shared" si="4"/>
        <v>180</v>
      </c>
      <c r="N26" s="32">
        <f t="shared" si="4"/>
        <v>180</v>
      </c>
      <c r="O26" s="32">
        <f t="shared" si="4"/>
        <v>180</v>
      </c>
      <c r="P26" s="7">
        <f t="shared" si="2"/>
        <v>1980</v>
      </c>
    </row>
    <row r="27" spans="2:16">
      <c r="B27" s="145" t="s">
        <v>157</v>
      </c>
      <c r="C27" s="145"/>
      <c r="D27" s="146">
        <v>0</v>
      </c>
      <c r="E27" s="146">
        <v>0</v>
      </c>
      <c r="F27" s="146">
        <f>SUM(F30)</f>
        <v>144</v>
      </c>
      <c r="G27" s="146">
        <f>SUM(G30:G31)</f>
        <v>244</v>
      </c>
      <c r="H27" s="146">
        <f>SUM(H30:H32)</f>
        <v>324</v>
      </c>
      <c r="I27" s="146">
        <f>SUM(I30:I33)</f>
        <v>388</v>
      </c>
      <c r="J27" s="146">
        <f>SUM(J30:J34)</f>
        <v>439</v>
      </c>
      <c r="K27" s="146">
        <f>SUM(K30:K35)</f>
        <v>479</v>
      </c>
      <c r="L27" s="146">
        <f>SUM(L30:L36)</f>
        <v>511</v>
      </c>
      <c r="M27" s="146">
        <f>SUM(M30:M37)</f>
        <v>536</v>
      </c>
      <c r="N27" s="146">
        <f>SUM(N30:N38)</f>
        <v>556</v>
      </c>
      <c r="O27" s="146">
        <f>SUM(O30:O39)</f>
        <v>572</v>
      </c>
      <c r="P27" s="147">
        <f t="shared" si="2"/>
        <v>4193</v>
      </c>
    </row>
    <row r="28" spans="2:16" ht="15" thickBot="1">
      <c r="B28" s="148" t="s">
        <v>158</v>
      </c>
      <c r="C28" s="149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7"/>
    </row>
    <row r="29" spans="2:16" ht="15" thickBot="1">
      <c r="B29" s="117" t="s">
        <v>54</v>
      </c>
      <c r="C29" s="117"/>
      <c r="D29" s="30">
        <f>D25+D26+D27+D28</f>
        <v>180</v>
      </c>
      <c r="E29" s="30">
        <f t="shared" ref="E29:O29" si="5">E25+E26+E27+E28</f>
        <v>180</v>
      </c>
      <c r="F29" s="30">
        <f t="shared" si="5"/>
        <v>324</v>
      </c>
      <c r="G29" s="30">
        <f t="shared" si="5"/>
        <v>424</v>
      </c>
      <c r="H29" s="30">
        <f t="shared" si="5"/>
        <v>504</v>
      </c>
      <c r="I29" s="30">
        <f t="shared" si="5"/>
        <v>568</v>
      </c>
      <c r="J29" s="30">
        <f t="shared" si="5"/>
        <v>619</v>
      </c>
      <c r="K29" s="30">
        <f t="shared" si="5"/>
        <v>659</v>
      </c>
      <c r="L29" s="30">
        <f t="shared" si="5"/>
        <v>691</v>
      </c>
      <c r="M29" s="30">
        <f t="shared" si="5"/>
        <v>716</v>
      </c>
      <c r="N29" s="30">
        <f t="shared" si="5"/>
        <v>736</v>
      </c>
      <c r="O29" s="30">
        <f t="shared" si="5"/>
        <v>752</v>
      </c>
      <c r="P29" s="8">
        <f t="shared" si="2"/>
        <v>6173</v>
      </c>
    </row>
    <row r="30" spans="2:16">
      <c r="B30" s="145" t="s">
        <v>157</v>
      </c>
      <c r="C30" s="145"/>
      <c r="D30" s="33"/>
      <c r="E30" s="33">
        <f>E26</f>
        <v>180</v>
      </c>
      <c r="F30" s="33">
        <f>ROUNDDOWN(E30*$H$7,0)</f>
        <v>144</v>
      </c>
      <c r="G30" s="33">
        <f>ROUNDDOWN(F30*$I$7,0)</f>
        <v>100</v>
      </c>
      <c r="H30" s="33">
        <f>ROUNDDOWN(G30*$J$7,0)</f>
        <v>80</v>
      </c>
      <c r="I30" s="33">
        <f>ROUNDDOWN(H30*$K$7,0)</f>
        <v>64</v>
      </c>
      <c r="J30" s="33">
        <f>ROUNDDOWN(I30*$L$7,0)</f>
        <v>51</v>
      </c>
      <c r="K30" s="33">
        <f>ROUNDDOWN(J30*$M$7,0)</f>
        <v>40</v>
      </c>
      <c r="L30" s="33">
        <f>ROUNDDOWN(K30*$N$7,0)</f>
        <v>32</v>
      </c>
      <c r="M30" s="33">
        <f>ROUNDDOWN(L30*$O$7,0)</f>
        <v>25</v>
      </c>
      <c r="N30" s="33">
        <f>ROUNDDOWN(M30*$P$7,0)</f>
        <v>20</v>
      </c>
      <c r="O30" s="33">
        <f>ROUNDDOWN(N30*$Q$7,0)</f>
        <v>16</v>
      </c>
      <c r="P30" s="1">
        <f t="shared" si="2"/>
        <v>752</v>
      </c>
    </row>
    <row r="31" spans="2:16">
      <c r="B31" s="153" t="s">
        <v>158</v>
      </c>
      <c r="C31" s="154"/>
      <c r="D31" s="29"/>
      <c r="E31" s="29"/>
      <c r="F31" s="29">
        <f>F26</f>
        <v>180</v>
      </c>
      <c r="G31" s="29">
        <f>ROUNDDOWN(F31*$H$7,0)</f>
        <v>144</v>
      </c>
      <c r="H31" s="29">
        <f>ROUNDDOWN(G31*$I$7,0)</f>
        <v>100</v>
      </c>
      <c r="I31" s="29">
        <f>ROUNDDOWN(H31*$J$7,0)</f>
        <v>80</v>
      </c>
      <c r="J31" s="43">
        <f>ROUNDDOWN(I31*$K$7,0)</f>
        <v>64</v>
      </c>
      <c r="K31" s="43">
        <f>ROUNDDOWN(J31*$L$7,0)</f>
        <v>51</v>
      </c>
      <c r="L31" s="43">
        <f>ROUNDDOWN(K31*$M$7,0)</f>
        <v>40</v>
      </c>
      <c r="M31" s="43">
        <f>ROUNDDOWN(L31*$N$7,0)</f>
        <v>32</v>
      </c>
      <c r="N31" s="43">
        <f>ROUNDDOWN(M31*$O$7,0)</f>
        <v>25</v>
      </c>
      <c r="O31" s="43">
        <f>ROUNDDOWN(N31*$P$7,0)</f>
        <v>20</v>
      </c>
      <c r="P31" s="2">
        <f t="shared" si="2"/>
        <v>736</v>
      </c>
    </row>
    <row r="32" spans="2:16">
      <c r="B32" s="119"/>
      <c r="C32" s="119"/>
      <c r="D32" s="29"/>
      <c r="E32" s="29"/>
      <c r="F32" s="29"/>
      <c r="G32" s="29">
        <f>G26</f>
        <v>180</v>
      </c>
      <c r="H32" s="29">
        <f>ROUNDDOWN(G32*$H$7,0)</f>
        <v>144</v>
      </c>
      <c r="I32" s="29">
        <f>ROUNDDOWN(H32*$I$7,0)</f>
        <v>100</v>
      </c>
      <c r="J32" s="29">
        <f>ROUNDDOWN(I32*$J$7,0)</f>
        <v>80</v>
      </c>
      <c r="K32" s="43">
        <f>ROUNDDOWN(J32*$K$7,0)</f>
        <v>64</v>
      </c>
      <c r="L32" s="43">
        <f>ROUNDDOWN(K32*$L$7,0)</f>
        <v>51</v>
      </c>
      <c r="M32" s="43">
        <f>ROUNDDOWN(L32*$M$7,0)</f>
        <v>40</v>
      </c>
      <c r="N32" s="43">
        <f>ROUNDDOWN(M32*$N$7,0)</f>
        <v>32</v>
      </c>
      <c r="O32" s="43">
        <f>ROUNDDOWN(N32*$O$7,0)</f>
        <v>25</v>
      </c>
      <c r="P32" s="2">
        <f t="shared" si="2"/>
        <v>716</v>
      </c>
    </row>
    <row r="33" spans="2:16">
      <c r="B33" s="119"/>
      <c r="C33" s="119"/>
      <c r="D33" s="29"/>
      <c r="E33" s="29"/>
      <c r="F33" s="29"/>
      <c r="G33" s="29"/>
      <c r="H33" s="29">
        <f>H26</f>
        <v>180</v>
      </c>
      <c r="I33" s="29">
        <f>ROUNDDOWN(H33*$H$7,0)</f>
        <v>144</v>
      </c>
      <c r="J33" s="29">
        <f>ROUNDDOWN(I33*$I$7,0)</f>
        <v>100</v>
      </c>
      <c r="K33" s="29">
        <f>ROUNDDOWN(J33*$J$7,0)</f>
        <v>80</v>
      </c>
      <c r="L33" s="43">
        <f>ROUNDDOWN(K33*$K$7,0)</f>
        <v>64</v>
      </c>
      <c r="M33" s="43">
        <f>ROUNDDOWN(L33*$L$7,0)</f>
        <v>51</v>
      </c>
      <c r="N33" s="43">
        <f>ROUNDDOWN(M33*$M$7,0)</f>
        <v>40</v>
      </c>
      <c r="O33" s="43">
        <f>ROUNDDOWN(N33*$N$7,0)</f>
        <v>32</v>
      </c>
      <c r="P33" s="2">
        <f t="shared" si="2"/>
        <v>691</v>
      </c>
    </row>
    <row r="34" spans="2:16">
      <c r="B34" s="119"/>
      <c r="C34" s="119"/>
      <c r="D34" s="29"/>
      <c r="E34" s="29"/>
      <c r="F34" s="29"/>
      <c r="G34" s="29"/>
      <c r="H34" s="29"/>
      <c r="I34" s="29">
        <f>I26</f>
        <v>180</v>
      </c>
      <c r="J34" s="29">
        <f>ROUNDDOWN(I34*$H$7,0)</f>
        <v>144</v>
      </c>
      <c r="K34" s="29">
        <f>ROUNDDOWN(J34*$I$7,0)</f>
        <v>100</v>
      </c>
      <c r="L34" s="29">
        <f>ROUNDDOWN(K34*$J$7,0)</f>
        <v>80</v>
      </c>
      <c r="M34" s="43">
        <f>ROUNDDOWN(L34*$K$7,0)</f>
        <v>64</v>
      </c>
      <c r="N34" s="43">
        <f>ROUNDDOWN(M34*$L$7,0)</f>
        <v>51</v>
      </c>
      <c r="O34" s="43">
        <f>ROUNDDOWN(N34*$M$7,0)</f>
        <v>40</v>
      </c>
      <c r="P34" s="2">
        <f t="shared" si="2"/>
        <v>659</v>
      </c>
    </row>
    <row r="35" spans="2:16">
      <c r="B35" s="119"/>
      <c r="C35" s="119"/>
      <c r="D35" s="29"/>
      <c r="E35" s="29"/>
      <c r="F35" s="29"/>
      <c r="G35" s="29"/>
      <c r="H35" s="29"/>
      <c r="I35" s="29"/>
      <c r="J35" s="29">
        <f>J26</f>
        <v>180</v>
      </c>
      <c r="K35" s="29">
        <f>ROUNDDOWN(J35*$H$7,0)</f>
        <v>144</v>
      </c>
      <c r="L35" s="29">
        <f>ROUNDDOWN(K35*$I$7,0)</f>
        <v>100</v>
      </c>
      <c r="M35" s="29">
        <f>ROUNDDOWN(L35*$J$7,0)</f>
        <v>80</v>
      </c>
      <c r="N35" s="43">
        <f>ROUNDDOWN(M35*$K$7,0)</f>
        <v>64</v>
      </c>
      <c r="O35" s="43">
        <f>ROUNDDOWN(N35*$L$7,0)</f>
        <v>51</v>
      </c>
      <c r="P35" s="2">
        <f t="shared" si="2"/>
        <v>619</v>
      </c>
    </row>
    <row r="36" spans="2:16">
      <c r="B36" s="119"/>
      <c r="C36" s="119"/>
      <c r="D36" s="29"/>
      <c r="E36" s="29"/>
      <c r="F36" s="29"/>
      <c r="G36" s="29"/>
      <c r="H36" s="29"/>
      <c r="I36" s="29"/>
      <c r="J36" s="29"/>
      <c r="K36" s="29">
        <f>K26</f>
        <v>180</v>
      </c>
      <c r="L36" s="29">
        <f>ROUNDDOWN(K36*$H$7,0)</f>
        <v>144</v>
      </c>
      <c r="M36" s="29">
        <f>ROUNDDOWN(L36*$I$7,0)</f>
        <v>100</v>
      </c>
      <c r="N36" s="29">
        <f>ROUNDDOWN(M36*$J$7,0)</f>
        <v>80</v>
      </c>
      <c r="O36" s="43">
        <f>ROUNDDOWN(N36*$K$7,0)</f>
        <v>64</v>
      </c>
      <c r="P36" s="2">
        <f t="shared" si="2"/>
        <v>568</v>
      </c>
    </row>
    <row r="37" spans="2:16">
      <c r="B37" s="119"/>
      <c r="C37" s="119"/>
      <c r="D37" s="29"/>
      <c r="E37" s="29"/>
      <c r="F37" s="29"/>
      <c r="G37" s="29"/>
      <c r="H37" s="29"/>
      <c r="I37" s="29"/>
      <c r="J37" s="29"/>
      <c r="K37" s="29"/>
      <c r="L37" s="29">
        <f>L26</f>
        <v>180</v>
      </c>
      <c r="M37" s="29">
        <f>ROUNDDOWN(L37*$H$7,0)</f>
        <v>144</v>
      </c>
      <c r="N37" s="29">
        <f>ROUNDDOWN(M37*$I$7,0)</f>
        <v>100</v>
      </c>
      <c r="O37" s="29">
        <f>ROUNDDOWN(N37*$J$7,0)</f>
        <v>80</v>
      </c>
      <c r="P37" s="2">
        <f t="shared" si="2"/>
        <v>504</v>
      </c>
    </row>
    <row r="38" spans="2:16">
      <c r="B38" s="119"/>
      <c r="C38" s="119"/>
      <c r="D38" s="29"/>
      <c r="E38" s="29"/>
      <c r="F38" s="29"/>
      <c r="G38" s="29"/>
      <c r="H38" s="29"/>
      <c r="I38" s="29"/>
      <c r="J38" s="29"/>
      <c r="K38" s="29"/>
      <c r="L38" s="29"/>
      <c r="M38" s="29">
        <f>M26</f>
        <v>180</v>
      </c>
      <c r="N38" s="29">
        <f>ROUNDDOWN(M38*$H$7,0)</f>
        <v>144</v>
      </c>
      <c r="O38" s="29">
        <f>ROUNDDOWN(N38*$I$7,0)</f>
        <v>100</v>
      </c>
      <c r="P38" s="2">
        <f t="shared" si="2"/>
        <v>424</v>
      </c>
    </row>
    <row r="39" spans="2:16">
      <c r="B39" s="119"/>
      <c r="C39" s="11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>
        <f>N26</f>
        <v>180</v>
      </c>
      <c r="O39" s="29">
        <f>ROUNDDOWN(N39*$H$7,0)</f>
        <v>144</v>
      </c>
      <c r="P39" s="2">
        <f t="shared" si="2"/>
        <v>324</v>
      </c>
    </row>
    <row r="40" spans="2:16">
      <c r="B40" s="119"/>
      <c r="C40" s="11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f>O26</f>
        <v>180</v>
      </c>
      <c r="P40" s="2">
        <f t="shared" si="2"/>
        <v>180</v>
      </c>
    </row>
    <row r="41" spans="2:16">
      <c r="B41" s="119"/>
      <c r="C41" s="11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">
        <f t="shared" si="2"/>
        <v>0</v>
      </c>
    </row>
    <row r="42" spans="2:16">
      <c r="B42" s="119"/>
      <c r="C42" s="11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">
        <f t="shared" si="2"/>
        <v>0</v>
      </c>
    </row>
    <row r="43" spans="2:16">
      <c r="B43" s="124"/>
      <c r="C43" s="124"/>
      <c r="D43" s="35"/>
      <c r="E43" s="35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"/>
    </row>
    <row r="44" spans="2:16" ht="16" thickTop="1" thickBot="1">
      <c r="B44" s="125" t="s">
        <v>44</v>
      </c>
      <c r="C44" s="125"/>
      <c r="D44" s="36">
        <f>D24*$D$3</f>
        <v>176400</v>
      </c>
      <c r="E44" s="36">
        <f>E24*$D$3</f>
        <v>176400</v>
      </c>
      <c r="F44" s="36">
        <f>F24*$D$3</f>
        <v>176400</v>
      </c>
      <c r="G44" s="36">
        <f t="shared" ref="G44:O44" si="6">G24*$D$3</f>
        <v>176400</v>
      </c>
      <c r="H44" s="36">
        <f t="shared" si="6"/>
        <v>176400</v>
      </c>
      <c r="I44" s="36">
        <f t="shared" si="6"/>
        <v>176400</v>
      </c>
      <c r="J44" s="36">
        <f t="shared" si="6"/>
        <v>176400</v>
      </c>
      <c r="K44" s="36">
        <f t="shared" si="6"/>
        <v>176400</v>
      </c>
      <c r="L44" s="36">
        <f t="shared" si="6"/>
        <v>176400</v>
      </c>
      <c r="M44" s="36">
        <f t="shared" si="6"/>
        <v>176400</v>
      </c>
      <c r="N44" s="36">
        <f t="shared" si="6"/>
        <v>176400</v>
      </c>
      <c r="O44" s="36">
        <f t="shared" si="6"/>
        <v>176400</v>
      </c>
      <c r="P44" s="9">
        <f t="shared" ref="P44:P53" si="7">SUM(E44:O44)</f>
        <v>1940400</v>
      </c>
    </row>
    <row r="45" spans="2:16" ht="16" thickTop="1" thickBot="1">
      <c r="B45" s="125" t="s">
        <v>48</v>
      </c>
      <c r="C45" s="125"/>
      <c r="D45" s="36">
        <f>D27*$D$4</f>
        <v>0</v>
      </c>
      <c r="E45" s="36">
        <f>E27*$D$4</f>
        <v>0</v>
      </c>
      <c r="F45" s="36">
        <f>F27*$D$4</f>
        <v>429120</v>
      </c>
      <c r="G45" s="36">
        <f t="shared" ref="G45:O45" si="8">G27*$D$4</f>
        <v>727120</v>
      </c>
      <c r="H45" s="36">
        <f t="shared" si="8"/>
        <v>965520</v>
      </c>
      <c r="I45" s="36">
        <f t="shared" si="8"/>
        <v>1156240</v>
      </c>
      <c r="J45" s="36">
        <f t="shared" si="8"/>
        <v>1308220</v>
      </c>
      <c r="K45" s="36">
        <f t="shared" si="8"/>
        <v>1427420</v>
      </c>
      <c r="L45" s="36">
        <f t="shared" si="8"/>
        <v>1522780</v>
      </c>
      <c r="M45" s="36">
        <f t="shared" si="8"/>
        <v>1597280</v>
      </c>
      <c r="N45" s="36">
        <f>N27*$D$4</f>
        <v>1656880</v>
      </c>
      <c r="O45" s="36">
        <f t="shared" si="8"/>
        <v>1704560</v>
      </c>
      <c r="P45" s="9">
        <f t="shared" si="7"/>
        <v>12495140</v>
      </c>
    </row>
    <row r="46" spans="2:16" s="17" customFormat="1" ht="16" thickTop="1" thickBot="1">
      <c r="B46" s="126" t="s">
        <v>25</v>
      </c>
      <c r="C46" s="126"/>
      <c r="D46" s="34">
        <f>SUM(D44:D45)</f>
        <v>176400</v>
      </c>
      <c r="E46" s="34">
        <f>SUM(E44:E45)</f>
        <v>176400</v>
      </c>
      <c r="F46" s="34">
        <f t="shared" ref="F46:O46" si="9">SUM(F44:F45)</f>
        <v>605520</v>
      </c>
      <c r="G46" s="34">
        <f t="shared" si="9"/>
        <v>903520</v>
      </c>
      <c r="H46" s="34">
        <f t="shared" si="9"/>
        <v>1141920</v>
      </c>
      <c r="I46" s="34">
        <f t="shared" si="9"/>
        <v>1332640</v>
      </c>
      <c r="J46" s="34">
        <f t="shared" si="9"/>
        <v>1484620</v>
      </c>
      <c r="K46" s="34">
        <f t="shared" si="9"/>
        <v>1603820</v>
      </c>
      <c r="L46" s="34">
        <f t="shared" si="9"/>
        <v>1699180</v>
      </c>
      <c r="M46" s="34">
        <f t="shared" si="9"/>
        <v>1773680</v>
      </c>
      <c r="N46" s="34">
        <f t="shared" si="9"/>
        <v>1833280</v>
      </c>
      <c r="O46" s="34">
        <f t="shared" si="9"/>
        <v>1880960</v>
      </c>
      <c r="P46" s="18">
        <f t="shared" si="7"/>
        <v>14435540</v>
      </c>
    </row>
    <row r="47" spans="2:16" ht="15" thickTop="1">
      <c r="B47" s="120" t="s">
        <v>0</v>
      </c>
      <c r="C47" s="11" t="s">
        <v>5</v>
      </c>
      <c r="D47" s="38">
        <f>SUM(D30:D43)*$D$5</f>
        <v>0</v>
      </c>
      <c r="E47" s="38">
        <f>E29*$D$5</f>
        <v>68220</v>
      </c>
      <c r="F47" s="38">
        <f t="shared" ref="F47:O47" si="10">F29*$D$5</f>
        <v>122796</v>
      </c>
      <c r="G47" s="38">
        <f t="shared" si="10"/>
        <v>160696</v>
      </c>
      <c r="H47" s="38">
        <f t="shared" si="10"/>
        <v>191016</v>
      </c>
      <c r="I47" s="38">
        <f t="shared" si="10"/>
        <v>215272</v>
      </c>
      <c r="J47" s="38">
        <f t="shared" si="10"/>
        <v>234601</v>
      </c>
      <c r="K47" s="38">
        <f t="shared" si="10"/>
        <v>249761</v>
      </c>
      <c r="L47" s="38">
        <f t="shared" si="10"/>
        <v>261889</v>
      </c>
      <c r="M47" s="38">
        <f t="shared" si="10"/>
        <v>271364</v>
      </c>
      <c r="N47" s="38">
        <f t="shared" si="10"/>
        <v>278944</v>
      </c>
      <c r="O47" s="38">
        <f t="shared" si="10"/>
        <v>285008</v>
      </c>
      <c r="P47" s="10">
        <f t="shared" si="7"/>
        <v>2339567</v>
      </c>
    </row>
    <row r="48" spans="2:16">
      <c r="B48" s="120"/>
      <c r="C48" s="12" t="s">
        <v>6</v>
      </c>
      <c r="D48" s="39">
        <f>$D$8*D23</f>
        <v>900000</v>
      </c>
      <c r="E48" s="39">
        <f>$D$8*E23</f>
        <v>900000</v>
      </c>
      <c r="F48" s="39">
        <f t="shared" ref="F48:O48" si="11">$D$8*F23</f>
        <v>900000</v>
      </c>
      <c r="G48" s="39">
        <f t="shared" si="11"/>
        <v>900000</v>
      </c>
      <c r="H48" s="39">
        <f t="shared" si="11"/>
        <v>900000</v>
      </c>
      <c r="I48" s="39">
        <f t="shared" si="11"/>
        <v>900000</v>
      </c>
      <c r="J48" s="39">
        <f t="shared" si="11"/>
        <v>900000</v>
      </c>
      <c r="K48" s="39">
        <f t="shared" si="11"/>
        <v>900000</v>
      </c>
      <c r="L48" s="39">
        <f t="shared" si="11"/>
        <v>900000</v>
      </c>
      <c r="M48" s="39">
        <f t="shared" si="11"/>
        <v>900000</v>
      </c>
      <c r="N48" s="39">
        <f t="shared" si="11"/>
        <v>900000</v>
      </c>
      <c r="O48" s="39">
        <f t="shared" si="11"/>
        <v>900000</v>
      </c>
      <c r="P48" s="4">
        <f t="shared" si="7"/>
        <v>9900000</v>
      </c>
    </row>
    <row r="49" spans="2:16">
      <c r="B49" s="120"/>
      <c r="C49" s="12" t="s">
        <v>3</v>
      </c>
      <c r="D49" s="39">
        <f>$D$16*SUM(D30:D43)*0.1</f>
        <v>0</v>
      </c>
      <c r="E49" s="39">
        <f>$D$16*SUM(E30:E43)*0.2</f>
        <v>12240</v>
      </c>
      <c r="F49" s="39">
        <f t="shared" ref="F49:O49" si="12">$D$16*SUM(F30:F43)*0.2</f>
        <v>22032</v>
      </c>
      <c r="G49" s="39">
        <f t="shared" si="12"/>
        <v>28832</v>
      </c>
      <c r="H49" s="39">
        <f t="shared" si="12"/>
        <v>34272</v>
      </c>
      <c r="I49" s="39">
        <f t="shared" si="12"/>
        <v>38624</v>
      </c>
      <c r="J49" s="39">
        <f t="shared" si="12"/>
        <v>42092</v>
      </c>
      <c r="K49" s="39">
        <f t="shared" si="12"/>
        <v>44812</v>
      </c>
      <c r="L49" s="39">
        <f t="shared" si="12"/>
        <v>46988</v>
      </c>
      <c r="M49" s="39">
        <f t="shared" si="12"/>
        <v>48688</v>
      </c>
      <c r="N49" s="39">
        <f t="shared" si="12"/>
        <v>50048</v>
      </c>
      <c r="O49" s="39">
        <f t="shared" si="12"/>
        <v>51136</v>
      </c>
      <c r="P49" s="4">
        <f t="shared" si="7"/>
        <v>419764</v>
      </c>
    </row>
    <row r="50" spans="2:16">
      <c r="B50" s="120"/>
      <c r="C50" s="12" t="s">
        <v>7</v>
      </c>
      <c r="D50" s="39">
        <f>SUM(D30:D43)*$D$17</f>
        <v>0</v>
      </c>
      <c r="E50" s="39">
        <f>E29*$D$17</f>
        <v>66600</v>
      </c>
      <c r="F50" s="39">
        <f t="shared" ref="F50:O50" si="13">F29*$D$17</f>
        <v>119880</v>
      </c>
      <c r="G50" s="39">
        <f t="shared" si="13"/>
        <v>156880</v>
      </c>
      <c r="H50" s="39">
        <f t="shared" si="13"/>
        <v>186480</v>
      </c>
      <c r="I50" s="39">
        <f t="shared" si="13"/>
        <v>210160</v>
      </c>
      <c r="J50" s="39">
        <f t="shared" si="13"/>
        <v>229030</v>
      </c>
      <c r="K50" s="39">
        <f t="shared" si="13"/>
        <v>243830</v>
      </c>
      <c r="L50" s="39">
        <f t="shared" si="13"/>
        <v>255670</v>
      </c>
      <c r="M50" s="39">
        <f t="shared" si="13"/>
        <v>264920</v>
      </c>
      <c r="N50" s="39">
        <f t="shared" si="13"/>
        <v>272320</v>
      </c>
      <c r="O50" s="39">
        <f t="shared" si="13"/>
        <v>278240</v>
      </c>
      <c r="P50" s="4">
        <f t="shared" si="7"/>
        <v>2284010</v>
      </c>
    </row>
    <row r="51" spans="2:16">
      <c r="B51" s="121"/>
      <c r="C51" s="12" t="s">
        <v>8</v>
      </c>
      <c r="D51" s="39">
        <f>$D$18*SUM(D30:D43)</f>
        <v>0</v>
      </c>
      <c r="E51" s="39">
        <f>$D$18*E29</f>
        <v>18000</v>
      </c>
      <c r="F51" s="39">
        <f t="shared" ref="F51:O51" si="14">$D$18*F29</f>
        <v>32400</v>
      </c>
      <c r="G51" s="39">
        <f t="shared" si="14"/>
        <v>42400</v>
      </c>
      <c r="H51" s="39">
        <f t="shared" si="14"/>
        <v>50400</v>
      </c>
      <c r="I51" s="39">
        <f t="shared" si="14"/>
        <v>56800</v>
      </c>
      <c r="J51" s="39">
        <f t="shared" si="14"/>
        <v>61900</v>
      </c>
      <c r="K51" s="39">
        <f t="shared" si="14"/>
        <v>65900</v>
      </c>
      <c r="L51" s="39">
        <f t="shared" si="14"/>
        <v>69100</v>
      </c>
      <c r="M51" s="39">
        <f t="shared" si="14"/>
        <v>71600</v>
      </c>
      <c r="N51" s="39">
        <f t="shared" si="14"/>
        <v>73600</v>
      </c>
      <c r="O51" s="39">
        <f t="shared" si="14"/>
        <v>75200</v>
      </c>
      <c r="P51" s="4">
        <f t="shared" si="7"/>
        <v>617300</v>
      </c>
    </row>
    <row r="52" spans="2:16" s="17" customFormat="1" ht="15" thickBot="1">
      <c r="B52" s="122" t="s">
        <v>26</v>
      </c>
      <c r="C52" s="122"/>
      <c r="D52" s="37">
        <f>SUM(D47:D51)</f>
        <v>900000</v>
      </c>
      <c r="E52" s="37">
        <f t="shared" ref="E52:O52" si="15">SUM(E47:E51)</f>
        <v>1065060</v>
      </c>
      <c r="F52" s="37">
        <f t="shared" si="15"/>
        <v>1197108</v>
      </c>
      <c r="G52" s="37">
        <f t="shared" si="15"/>
        <v>1288808</v>
      </c>
      <c r="H52" s="37">
        <f t="shared" si="15"/>
        <v>1362168</v>
      </c>
      <c r="I52" s="37">
        <f t="shared" si="15"/>
        <v>1420856</v>
      </c>
      <c r="J52" s="37">
        <f t="shared" si="15"/>
        <v>1467623</v>
      </c>
      <c r="K52" s="37">
        <f t="shared" si="15"/>
        <v>1504303</v>
      </c>
      <c r="L52" s="37">
        <f t="shared" si="15"/>
        <v>1533647</v>
      </c>
      <c r="M52" s="37">
        <f t="shared" si="15"/>
        <v>1556572</v>
      </c>
      <c r="N52" s="37">
        <f t="shared" si="15"/>
        <v>1574912</v>
      </c>
      <c r="O52" s="37">
        <f t="shared" si="15"/>
        <v>1589584</v>
      </c>
      <c r="P52" s="19">
        <f t="shared" si="7"/>
        <v>15560641</v>
      </c>
    </row>
    <row r="53" spans="2:16" s="17" customFormat="1" ht="15" thickTop="1">
      <c r="B53" s="123" t="s">
        <v>27</v>
      </c>
      <c r="C53" s="123"/>
      <c r="D53" s="40">
        <f>D46-D52</f>
        <v>-723600</v>
      </c>
      <c r="E53" s="40">
        <f t="shared" ref="E53:O53" si="16">E46-E52</f>
        <v>-888660</v>
      </c>
      <c r="F53" s="40">
        <f t="shared" si="16"/>
        <v>-591588</v>
      </c>
      <c r="G53" s="40">
        <f t="shared" si="16"/>
        <v>-385288</v>
      </c>
      <c r="H53" s="40">
        <f t="shared" si="16"/>
        <v>-220248</v>
      </c>
      <c r="I53" s="40">
        <f t="shared" si="16"/>
        <v>-88216</v>
      </c>
      <c r="J53" s="40">
        <f t="shared" si="16"/>
        <v>16997</v>
      </c>
      <c r="K53" s="40">
        <f t="shared" si="16"/>
        <v>99517</v>
      </c>
      <c r="L53" s="40">
        <f t="shared" si="16"/>
        <v>165533</v>
      </c>
      <c r="M53" s="40">
        <f t="shared" si="16"/>
        <v>217108</v>
      </c>
      <c r="N53" s="40">
        <f t="shared" si="16"/>
        <v>258368</v>
      </c>
      <c r="O53" s="40">
        <f t="shared" si="16"/>
        <v>291376</v>
      </c>
      <c r="P53" s="20">
        <f t="shared" si="7"/>
        <v>-1125101</v>
      </c>
    </row>
  </sheetData>
  <mergeCells count="48">
    <mergeCell ref="B47:B51"/>
    <mergeCell ref="B52:C52"/>
    <mergeCell ref="B53:C53"/>
    <mergeCell ref="B43:C43"/>
    <mergeCell ref="B44:C44"/>
    <mergeCell ref="B45:C45"/>
    <mergeCell ref="B46:C46"/>
    <mergeCell ref="B39:C39"/>
    <mergeCell ref="B40:C40"/>
    <mergeCell ref="B41:C41"/>
    <mergeCell ref="B42:C42"/>
    <mergeCell ref="B34:C34"/>
    <mergeCell ref="B35:C35"/>
    <mergeCell ref="B36:C36"/>
    <mergeCell ref="B37:C37"/>
    <mergeCell ref="B38:C38"/>
    <mergeCell ref="B26:C26"/>
    <mergeCell ref="B27:C27"/>
    <mergeCell ref="B23:C23"/>
    <mergeCell ref="B24:C24"/>
    <mergeCell ref="B33:C33"/>
    <mergeCell ref="B30:C30"/>
    <mergeCell ref="B31:C31"/>
    <mergeCell ref="B32:C32"/>
    <mergeCell ref="B29:C29"/>
    <mergeCell ref="B28:C28"/>
    <mergeCell ref="B25:C25"/>
    <mergeCell ref="B22:C22"/>
    <mergeCell ref="B11:C11"/>
    <mergeCell ref="B12:C12"/>
    <mergeCell ref="B14:C14"/>
    <mergeCell ref="B15:C15"/>
    <mergeCell ref="B16:C16"/>
    <mergeCell ref="B17:C17"/>
    <mergeCell ref="B13:C13"/>
    <mergeCell ref="B7:C7"/>
    <mergeCell ref="B8:C8"/>
    <mergeCell ref="B10:C10"/>
    <mergeCell ref="B9:C9"/>
    <mergeCell ref="B18:C18"/>
    <mergeCell ref="B5:C5"/>
    <mergeCell ref="B6:C6"/>
    <mergeCell ref="B2:C2"/>
    <mergeCell ref="G2:H2"/>
    <mergeCell ref="B3:C3"/>
    <mergeCell ref="G3:H3"/>
    <mergeCell ref="B4:C4"/>
    <mergeCell ref="G4:H4"/>
  </mergeCells>
  <phoneticPr fontId="2"/>
  <pageMargins left="0.2" right="0.7" top="0.63" bottom="0.2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F6AE-D968-DE46-8C7F-9ADFDDACC5E2}">
  <dimension ref="B2:P23"/>
  <sheetViews>
    <sheetView zoomScale="110" workbookViewId="0">
      <selection activeCell="F30" sqref="F30"/>
    </sheetView>
  </sheetViews>
  <sheetFormatPr baseColWidth="10" defaultRowHeight="14"/>
  <cols>
    <col min="1" max="1" width="1.5" customWidth="1"/>
    <col min="2" max="2" width="6.1640625" customWidth="1"/>
    <col min="3" max="3" width="23.5" customWidth="1"/>
    <col min="7" max="7" width="10.83203125" customWidth="1"/>
  </cols>
  <sheetData>
    <row r="2" spans="2:16">
      <c r="C2" t="s">
        <v>146</v>
      </c>
      <c r="E2" s="131"/>
      <c r="F2" s="133" t="s">
        <v>147</v>
      </c>
      <c r="G2" s="133"/>
      <c r="H2" s="131"/>
      <c r="I2" s="133" t="s">
        <v>148</v>
      </c>
      <c r="J2" s="133"/>
      <c r="K2" s="131"/>
    </row>
    <row r="3" spans="2:16">
      <c r="C3" s="2" t="s">
        <v>108</v>
      </c>
      <c r="D3" s="2">
        <v>2388</v>
      </c>
      <c r="E3" s="131"/>
      <c r="F3" s="2" t="s">
        <v>108</v>
      </c>
      <c r="G3" s="2">
        <v>1736</v>
      </c>
      <c r="H3" s="131"/>
      <c r="I3" s="2" t="s">
        <v>108</v>
      </c>
      <c r="J3" s="2">
        <v>1526</v>
      </c>
      <c r="K3" s="131"/>
    </row>
    <row r="4" spans="2:16">
      <c r="C4" s="2" t="s">
        <v>109</v>
      </c>
      <c r="D4" s="2">
        <v>379</v>
      </c>
      <c r="E4" s="131"/>
      <c r="F4" s="2" t="s">
        <v>109</v>
      </c>
      <c r="G4" s="2">
        <v>387</v>
      </c>
      <c r="H4" s="131"/>
      <c r="I4" s="2" t="s">
        <v>109</v>
      </c>
      <c r="J4" s="2">
        <v>315</v>
      </c>
      <c r="K4" s="131"/>
    </row>
    <row r="5" spans="2:16">
      <c r="C5" s="2" t="s">
        <v>110</v>
      </c>
      <c r="D5" s="86">
        <f>D4/D3</f>
        <v>0.15871021775544389</v>
      </c>
      <c r="E5" s="131"/>
      <c r="F5" s="2" t="s">
        <v>110</v>
      </c>
      <c r="G5" s="86">
        <f>G4/G3</f>
        <v>0.22292626728110598</v>
      </c>
      <c r="H5" s="131"/>
      <c r="I5" s="2" t="s">
        <v>110</v>
      </c>
      <c r="J5" s="86">
        <f>J4/J3</f>
        <v>0.20642201834862386</v>
      </c>
      <c r="K5" s="131"/>
    </row>
    <row r="6" spans="2:16">
      <c r="C6" s="2" t="s">
        <v>8</v>
      </c>
      <c r="D6" s="2">
        <v>100</v>
      </c>
      <c r="E6" s="131"/>
      <c r="F6" s="2" t="s">
        <v>8</v>
      </c>
      <c r="G6" s="2">
        <v>100</v>
      </c>
      <c r="H6" s="131"/>
      <c r="I6" s="2" t="s">
        <v>8</v>
      </c>
      <c r="J6" s="2">
        <v>100</v>
      </c>
      <c r="K6" s="131"/>
    </row>
    <row r="7" spans="2:16">
      <c r="C7" s="2" t="s">
        <v>113</v>
      </c>
      <c r="D7" s="2">
        <f>D3-D4-D6</f>
        <v>1909</v>
      </c>
      <c r="E7" s="131"/>
      <c r="F7" s="2" t="s">
        <v>113</v>
      </c>
      <c r="G7" s="2">
        <f>G3-G4-G6</f>
        <v>1249</v>
      </c>
      <c r="H7" s="131"/>
      <c r="I7" s="2" t="s">
        <v>113</v>
      </c>
      <c r="J7" s="2">
        <f>J3-J4-J6</f>
        <v>1111</v>
      </c>
      <c r="K7" s="131"/>
    </row>
    <row r="8" spans="2:16">
      <c r="C8" s="2" t="s">
        <v>114</v>
      </c>
      <c r="D8" s="86">
        <f>D7/D3</f>
        <v>0.79941373534338356</v>
      </c>
      <c r="E8" s="131"/>
      <c r="F8" s="2" t="s">
        <v>114</v>
      </c>
      <c r="G8" s="86">
        <f>G7/G3</f>
        <v>0.71947004608294929</v>
      </c>
      <c r="H8" s="131"/>
      <c r="I8" s="2" t="s">
        <v>114</v>
      </c>
      <c r="J8" s="86">
        <f>J7/J3</f>
        <v>0.72804718217562259</v>
      </c>
      <c r="K8" s="131"/>
    </row>
    <row r="9" spans="2:16">
      <c r="E9" s="131"/>
      <c r="F9" s="131"/>
      <c r="G9" s="131"/>
      <c r="H9" s="131"/>
      <c r="I9" s="131"/>
      <c r="J9" s="132"/>
      <c r="K9" s="131"/>
    </row>
    <row r="11" spans="2:16">
      <c r="B11" s="127"/>
      <c r="C11" s="127"/>
      <c r="D11" s="2" t="s">
        <v>118</v>
      </c>
      <c r="E11" s="2" t="s">
        <v>119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124</v>
      </c>
      <c r="K11" s="2" t="s">
        <v>125</v>
      </c>
      <c r="L11" s="2" t="s">
        <v>126</v>
      </c>
      <c r="M11" s="2" t="s">
        <v>127</v>
      </c>
      <c r="N11" s="2" t="s">
        <v>128</v>
      </c>
      <c r="O11" s="2" t="s">
        <v>129</v>
      </c>
      <c r="P11" s="2" t="s">
        <v>1</v>
      </c>
    </row>
    <row r="12" spans="2:16">
      <c r="B12" s="127" t="s">
        <v>145</v>
      </c>
      <c r="C12" s="127"/>
      <c r="D12" s="2">
        <v>105</v>
      </c>
      <c r="E12" s="2">
        <v>100</v>
      </c>
      <c r="F12" s="2">
        <v>100</v>
      </c>
      <c r="G12" s="2">
        <v>100</v>
      </c>
      <c r="H12" s="2">
        <v>100</v>
      </c>
      <c r="I12" s="2">
        <v>100</v>
      </c>
      <c r="J12" s="2">
        <v>100</v>
      </c>
      <c r="K12" s="2">
        <v>100</v>
      </c>
      <c r="L12" s="2">
        <v>100</v>
      </c>
      <c r="M12" s="2">
        <v>100</v>
      </c>
      <c r="N12" s="2">
        <v>100</v>
      </c>
      <c r="O12" s="2">
        <v>100</v>
      </c>
      <c r="P12" s="2">
        <f>SUM(D12:O12)</f>
        <v>1205</v>
      </c>
    </row>
    <row r="13" spans="2:16">
      <c r="B13" s="135" t="s">
        <v>149</v>
      </c>
      <c r="C13" s="136"/>
      <c r="D13" s="134">
        <v>10</v>
      </c>
      <c r="E13" s="134">
        <v>30</v>
      </c>
      <c r="F13" s="134">
        <v>30</v>
      </c>
      <c r="G13" s="134">
        <v>30</v>
      </c>
      <c r="H13" s="134">
        <v>30</v>
      </c>
      <c r="I13" s="134">
        <v>30</v>
      </c>
      <c r="J13" s="134">
        <v>30</v>
      </c>
      <c r="K13" s="134">
        <v>30</v>
      </c>
      <c r="L13" s="134">
        <v>30</v>
      </c>
      <c r="M13" s="134">
        <v>30</v>
      </c>
      <c r="N13" s="134">
        <v>30</v>
      </c>
      <c r="O13" s="134">
        <v>30</v>
      </c>
      <c r="P13" s="2">
        <f t="shared" ref="P13:P14" si="0">SUM(D13:O13)</f>
        <v>340</v>
      </c>
    </row>
    <row r="14" spans="2:16">
      <c r="B14" s="135" t="s">
        <v>150</v>
      </c>
      <c r="C14" s="136"/>
      <c r="D14" s="134">
        <v>10</v>
      </c>
      <c r="E14" s="134">
        <v>30</v>
      </c>
      <c r="F14" s="134">
        <v>30</v>
      </c>
      <c r="G14" s="134">
        <v>30</v>
      </c>
      <c r="H14" s="134">
        <v>30</v>
      </c>
      <c r="I14" s="134">
        <v>30</v>
      </c>
      <c r="J14" s="134">
        <v>30</v>
      </c>
      <c r="K14" s="134">
        <v>30</v>
      </c>
      <c r="L14" s="134">
        <v>30</v>
      </c>
      <c r="M14" s="134">
        <v>30</v>
      </c>
      <c r="N14" s="134">
        <v>30</v>
      </c>
      <c r="O14" s="134">
        <v>30</v>
      </c>
      <c r="P14" s="2">
        <f t="shared" si="0"/>
        <v>340</v>
      </c>
    </row>
    <row r="15" spans="2:16" ht="15" thickBot="1">
      <c r="B15" s="137" t="s">
        <v>130</v>
      </c>
      <c r="C15" s="137"/>
      <c r="D15" s="88">
        <f>(E12*D7)+(E13*G7)+(E14*J7)</f>
        <v>261700</v>
      </c>
      <c r="E15" s="88">
        <f>(E12*D7)+(E13*G7)+(E14*J7)</f>
        <v>261700</v>
      </c>
      <c r="F15" s="88">
        <f>(F12*D7)+(F13*G7)+(F14*J7)</f>
        <v>261700</v>
      </c>
      <c r="G15" s="88">
        <f>(G12*D7)+(G13*G7)+(G14*J7)</f>
        <v>261700</v>
      </c>
      <c r="H15" s="88">
        <f>(H12*D7)+(H13*G7)+(H14*J7)</f>
        <v>261700</v>
      </c>
      <c r="I15" s="88">
        <f>(I12*D7)+(I13*G7)+(I14*J7)</f>
        <v>261700</v>
      </c>
      <c r="J15" s="88">
        <f>(J12*D7)+(J13*G7)+(J14*J7)</f>
        <v>261700</v>
      </c>
      <c r="K15" s="88">
        <f>(K12*D7)+(K13*G7)+(K14*J7)</f>
        <v>261700</v>
      </c>
      <c r="L15" s="88">
        <f>(L12*D7)+(L13*G7)+(L14*J7)</f>
        <v>261700</v>
      </c>
      <c r="M15" s="88">
        <f>(M12*D7)+(M13*G7)+(M14*J7)</f>
        <v>261700</v>
      </c>
      <c r="N15" s="88">
        <f>(N12*D7)+(N13*G7)+(N14*J7)</f>
        <v>261700</v>
      </c>
      <c r="O15" s="88">
        <f>(O12*D7)+(O13*G7)+(O14*J7)</f>
        <v>261700</v>
      </c>
      <c r="P15" s="88">
        <f>SUM(D15:O15)</f>
        <v>3140400</v>
      </c>
    </row>
    <row r="16" spans="2:16" ht="15" thickTop="1">
      <c r="B16" s="128" t="s">
        <v>138</v>
      </c>
      <c r="C16" s="1" t="s">
        <v>137</v>
      </c>
      <c r="D16" s="87">
        <f>(D4*D12)+(G4*D13)+(J4*D14)</f>
        <v>46815</v>
      </c>
      <c r="E16" s="87">
        <f>(D4*E12)+(G4*E13)+(J4*E14)</f>
        <v>58960</v>
      </c>
      <c r="F16" s="87">
        <f>(D4*F12)+(G4*F13)+(J4*F14)</f>
        <v>58960</v>
      </c>
      <c r="G16" s="87" t="e">
        <f>(F4*G12)+(I4*G13)+(L4*G14)</f>
        <v>#VALUE!</v>
      </c>
      <c r="H16" s="87">
        <f>(G4*H12)+(J4*H13)+(M4*H14)</f>
        <v>48150</v>
      </c>
      <c r="I16" s="87">
        <f>(H4*I12)+(K4*I13)+(N4*I14)</f>
        <v>0</v>
      </c>
      <c r="J16" s="87" t="e">
        <f>(I4*J12)+(L4*J13)+(O4*J14)</f>
        <v>#VALUE!</v>
      </c>
      <c r="K16" s="87">
        <f>(J4*K12)+(M4*K13)+(P4*K14)</f>
        <v>31500</v>
      </c>
      <c r="L16" s="87">
        <f>(K4*L12)+(N4*L13)+(Q4*L14)</f>
        <v>0</v>
      </c>
      <c r="M16" s="87">
        <f>(L4*M12)+(O4*M13)+(R4*M14)</f>
        <v>0</v>
      </c>
      <c r="N16" s="87">
        <f>(M4*N12)+(P4*N13)+(S4*N14)</f>
        <v>0</v>
      </c>
      <c r="O16" s="87">
        <f>(N4*O12)+(Q4*O13)+(T4*O14)</f>
        <v>0</v>
      </c>
      <c r="P16" s="94" t="e">
        <f>SUM(D16:O16)</f>
        <v>#VALUE!</v>
      </c>
    </row>
    <row r="17" spans="2:16" ht="15" thickBot="1">
      <c r="B17" s="130"/>
      <c r="C17" s="3" t="s">
        <v>8</v>
      </c>
      <c r="D17" s="88">
        <v>0</v>
      </c>
      <c r="E17" s="88">
        <v>0</v>
      </c>
      <c r="F17" s="88">
        <f>D6*F12</f>
        <v>10000</v>
      </c>
      <c r="G17" s="88">
        <f>D6*G12</f>
        <v>10000</v>
      </c>
      <c r="H17" s="88">
        <f>D6*H12</f>
        <v>10000</v>
      </c>
      <c r="I17" s="88">
        <f>D6*I12</f>
        <v>10000</v>
      </c>
      <c r="J17" s="88">
        <f>D6*J12</f>
        <v>10000</v>
      </c>
      <c r="K17" s="88">
        <f>D6*K12</f>
        <v>10000</v>
      </c>
      <c r="L17" s="88">
        <f>D6*L12</f>
        <v>10000</v>
      </c>
      <c r="M17" s="88">
        <f>D6*M12</f>
        <v>10000</v>
      </c>
      <c r="N17" s="88">
        <f>D6*N12</f>
        <v>10000</v>
      </c>
      <c r="O17" s="88">
        <f>D6*O12</f>
        <v>10000</v>
      </c>
      <c r="P17" s="88">
        <f>SUM(D17:O17)</f>
        <v>100000</v>
      </c>
    </row>
    <row r="18" spans="2:16" ht="15" thickTop="1">
      <c r="B18" s="138" t="s">
        <v>132</v>
      </c>
      <c r="C18" s="138"/>
      <c r="D18" s="87" t="e">
        <f>D15-#REF!</f>
        <v>#REF!</v>
      </c>
      <c r="E18" s="87" t="e">
        <f>E15-#REF!</f>
        <v>#REF!</v>
      </c>
      <c r="F18" s="87" t="e">
        <f>F15-(F16+#REF!+#REF!+F17)</f>
        <v>#REF!</v>
      </c>
      <c r="G18" s="87" t="e">
        <f>G15-(G16+#REF!+#REF!+G17)</f>
        <v>#VALUE!</v>
      </c>
      <c r="H18" s="87" t="e">
        <f>H15-(H16+#REF!+#REF!+H17)</f>
        <v>#REF!</v>
      </c>
      <c r="I18" s="87" t="e">
        <f>I15-(I16+#REF!+#REF!+I17)</f>
        <v>#REF!</v>
      </c>
      <c r="J18" s="87" t="e">
        <f>J15-(J16+#REF!+#REF!+J17)</f>
        <v>#VALUE!</v>
      </c>
      <c r="K18" s="87" t="e">
        <f>K15-(K16+#REF!+#REF!+K17)</f>
        <v>#REF!</v>
      </c>
      <c r="L18" s="87" t="e">
        <f>L15-(L16+#REF!+#REF!+L17)</f>
        <v>#REF!</v>
      </c>
      <c r="M18" s="87" t="e">
        <f>M15-(M16+#REF!+#REF!+M17)</f>
        <v>#REF!</v>
      </c>
      <c r="N18" s="87" t="e">
        <f>N15-(N16+#REF!+#REF!+N17)</f>
        <v>#REF!</v>
      </c>
      <c r="O18" s="87" t="e">
        <f>O15-(O16+#REF!+#REF!+O17)</f>
        <v>#REF!</v>
      </c>
      <c r="P18" s="87" t="e">
        <f>P15-(P16+#REF!+#REF!+P17)</f>
        <v>#VALUE!</v>
      </c>
    </row>
    <row r="19" spans="2:16">
      <c r="B19" s="127" t="s">
        <v>136</v>
      </c>
      <c r="C19" s="127"/>
      <c r="D19" s="86" t="e">
        <f>D18/#REF!*100%</f>
        <v>#REF!</v>
      </c>
      <c r="E19" s="86" t="e">
        <f>E18/#REF!*100%</f>
        <v>#REF!</v>
      </c>
      <c r="F19" s="86" t="e">
        <f>F18/#REF!*100%</f>
        <v>#REF!</v>
      </c>
      <c r="G19" s="86" t="e">
        <f>G18/#REF!*100%</f>
        <v>#VALUE!</v>
      </c>
      <c r="H19" s="86" t="e">
        <f>H18/#REF!*100%</f>
        <v>#REF!</v>
      </c>
      <c r="I19" s="86" t="e">
        <f>I18/#REF!*100%</f>
        <v>#REF!</v>
      </c>
      <c r="J19" s="86" t="e">
        <f>J18/#REF!*100%</f>
        <v>#VALUE!</v>
      </c>
      <c r="K19" s="86" t="e">
        <f>K18/#REF!*100%</f>
        <v>#REF!</v>
      </c>
      <c r="L19" s="86" t="e">
        <f>L18/#REF!*100%</f>
        <v>#REF!</v>
      </c>
      <c r="M19" s="86" t="e">
        <f>M18/#REF!*100%</f>
        <v>#REF!</v>
      </c>
      <c r="N19" s="86" t="e">
        <f>N18/#REF!*100%</f>
        <v>#REF!</v>
      </c>
      <c r="O19" s="86" t="e">
        <f>O18/#REF!*100%</f>
        <v>#REF!</v>
      </c>
      <c r="P19" s="86" t="e">
        <f>P18/#REF!*100%</f>
        <v>#VALUE!</v>
      </c>
    </row>
    <row r="21" spans="2:16">
      <c r="C21" s="2" t="s">
        <v>139</v>
      </c>
      <c r="D21" s="2">
        <f>D22*D23</f>
        <v>700</v>
      </c>
      <c r="E21" t="s">
        <v>117</v>
      </c>
    </row>
    <row r="22" spans="2:16">
      <c r="C22" s="2" t="s">
        <v>115</v>
      </c>
      <c r="D22" s="2">
        <v>7</v>
      </c>
    </row>
    <row r="23" spans="2:16">
      <c r="C23" s="2" t="s">
        <v>116</v>
      </c>
      <c r="D23" s="2">
        <v>100</v>
      </c>
    </row>
  </sheetData>
  <mergeCells count="10">
    <mergeCell ref="B15:C15"/>
    <mergeCell ref="B16:B17"/>
    <mergeCell ref="B18:C18"/>
    <mergeCell ref="B19:C19"/>
    <mergeCell ref="F2:G2"/>
    <mergeCell ref="I2:J2"/>
    <mergeCell ref="B11:C11"/>
    <mergeCell ref="B12:C12"/>
    <mergeCell ref="B13:C13"/>
    <mergeCell ref="B14:C14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CFD3-82CE-014F-A11E-0DF539E5F813}">
  <dimension ref="B2:P28"/>
  <sheetViews>
    <sheetView zoomScale="110" workbookViewId="0">
      <selection activeCell="I36" sqref="I36"/>
    </sheetView>
  </sheetViews>
  <sheetFormatPr baseColWidth="10" defaultRowHeight="14"/>
  <cols>
    <col min="1" max="1" width="1.5" customWidth="1"/>
    <col min="2" max="2" width="6.1640625" customWidth="1"/>
    <col min="3" max="3" width="23.5" customWidth="1"/>
    <col min="7" max="7" width="10.83203125" customWidth="1"/>
  </cols>
  <sheetData>
    <row r="2" spans="2:16">
      <c r="C2" t="s">
        <v>146</v>
      </c>
      <c r="E2" s="131"/>
      <c r="F2" s="133" t="s">
        <v>147</v>
      </c>
      <c r="G2" s="133"/>
      <c r="H2" s="131"/>
      <c r="I2" s="133" t="s">
        <v>148</v>
      </c>
      <c r="J2" s="133"/>
      <c r="K2" s="131"/>
    </row>
    <row r="3" spans="2:16">
      <c r="C3" s="2" t="s">
        <v>108</v>
      </c>
      <c r="D3" s="2">
        <v>3100</v>
      </c>
      <c r="E3" s="131"/>
      <c r="F3" s="2" t="s">
        <v>108</v>
      </c>
      <c r="G3" s="2">
        <v>2180</v>
      </c>
      <c r="H3" s="131"/>
      <c r="I3" s="2" t="s">
        <v>108</v>
      </c>
      <c r="J3" s="2">
        <v>1980</v>
      </c>
      <c r="K3" s="131"/>
    </row>
    <row r="4" spans="2:16">
      <c r="C4" s="2" t="s">
        <v>109</v>
      </c>
      <c r="D4" s="2">
        <v>379</v>
      </c>
      <c r="E4" s="131"/>
      <c r="F4" s="2" t="s">
        <v>109</v>
      </c>
      <c r="G4" s="2">
        <v>387</v>
      </c>
      <c r="H4" s="131"/>
      <c r="I4" s="2" t="s">
        <v>109</v>
      </c>
      <c r="J4" s="2">
        <v>315</v>
      </c>
      <c r="K4" s="131"/>
    </row>
    <row r="5" spans="2:16">
      <c r="C5" s="2" t="s">
        <v>110</v>
      </c>
      <c r="D5" s="86">
        <f>D4/D3</f>
        <v>0.12225806451612903</v>
      </c>
      <c r="E5" s="131"/>
      <c r="F5" s="2" t="s">
        <v>110</v>
      </c>
      <c r="G5" s="86">
        <f>G4/G3</f>
        <v>0.17752293577981651</v>
      </c>
      <c r="H5" s="131"/>
      <c r="I5" s="2" t="s">
        <v>110</v>
      </c>
      <c r="J5" s="86">
        <f>J4/J3</f>
        <v>0.15909090909090909</v>
      </c>
      <c r="K5" s="131"/>
    </row>
    <row r="6" spans="2:16">
      <c r="C6" s="2" t="s">
        <v>152</v>
      </c>
      <c r="D6" s="2">
        <v>348</v>
      </c>
      <c r="E6" s="131"/>
      <c r="F6" s="2" t="s">
        <v>111</v>
      </c>
      <c r="G6" s="2">
        <v>348</v>
      </c>
      <c r="H6" s="131"/>
      <c r="I6" s="2" t="s">
        <v>111</v>
      </c>
      <c r="J6" s="2">
        <v>348</v>
      </c>
      <c r="K6" s="131"/>
    </row>
    <row r="7" spans="2:16">
      <c r="C7" s="2" t="s">
        <v>151</v>
      </c>
      <c r="D7" s="2">
        <v>434</v>
      </c>
      <c r="E7" s="131"/>
      <c r="F7" s="2" t="s">
        <v>112</v>
      </c>
      <c r="G7" s="2">
        <v>434</v>
      </c>
      <c r="H7" s="131"/>
      <c r="I7" s="2" t="s">
        <v>112</v>
      </c>
      <c r="J7" s="2">
        <v>434</v>
      </c>
      <c r="K7" s="131"/>
    </row>
    <row r="8" spans="2:16">
      <c r="C8" s="2" t="s">
        <v>8</v>
      </c>
      <c r="D8" s="2">
        <v>100</v>
      </c>
      <c r="E8" s="131"/>
      <c r="F8" s="2" t="s">
        <v>8</v>
      </c>
      <c r="G8" s="2">
        <v>100</v>
      </c>
      <c r="H8" s="131"/>
      <c r="I8" s="2" t="s">
        <v>8</v>
      </c>
      <c r="J8" s="2">
        <v>100</v>
      </c>
      <c r="K8" s="131"/>
    </row>
    <row r="9" spans="2:16">
      <c r="C9" s="2" t="s">
        <v>113</v>
      </c>
      <c r="D9" s="2">
        <f>D3-D4-D6-D7-D8</f>
        <v>1839</v>
      </c>
      <c r="E9" s="131"/>
      <c r="F9" s="2" t="s">
        <v>113</v>
      </c>
      <c r="G9" s="2">
        <f>G3-G4-G6-G7-G8</f>
        <v>911</v>
      </c>
      <c r="H9" s="131"/>
      <c r="I9" s="2" t="s">
        <v>113</v>
      </c>
      <c r="J9" s="2">
        <f>J3-J4-J6-J7-J8</f>
        <v>783</v>
      </c>
      <c r="K9" s="131"/>
    </row>
    <row r="10" spans="2:16">
      <c r="C10" s="2" t="s">
        <v>114</v>
      </c>
      <c r="D10" s="86">
        <f>D9/D3</f>
        <v>0.59322580645161294</v>
      </c>
      <c r="E10" s="131"/>
      <c r="F10" s="2" t="s">
        <v>114</v>
      </c>
      <c r="G10" s="86">
        <f>G9/G3</f>
        <v>0.41788990825688072</v>
      </c>
      <c r="H10" s="131"/>
      <c r="I10" s="2" t="s">
        <v>114</v>
      </c>
      <c r="J10" s="86">
        <f>J9/J3</f>
        <v>0.39545454545454545</v>
      </c>
      <c r="K10" s="131"/>
    </row>
    <row r="11" spans="2:16">
      <c r="E11" s="131"/>
      <c r="F11" s="131"/>
      <c r="G11" s="131"/>
      <c r="H11" s="131"/>
      <c r="I11" s="131"/>
      <c r="J11" s="132"/>
      <c r="K11" s="131"/>
    </row>
    <row r="13" spans="2:16">
      <c r="B13" s="127"/>
      <c r="C13" s="127"/>
      <c r="D13" s="2" t="s">
        <v>118</v>
      </c>
      <c r="E13" s="2" t="s">
        <v>119</v>
      </c>
      <c r="F13" s="2" t="s">
        <v>120</v>
      </c>
      <c r="G13" s="2" t="s">
        <v>121</v>
      </c>
      <c r="H13" s="2" t="s">
        <v>122</v>
      </c>
      <c r="I13" s="2" t="s">
        <v>123</v>
      </c>
      <c r="J13" s="2" t="s">
        <v>124</v>
      </c>
      <c r="K13" s="2" t="s">
        <v>125</v>
      </c>
      <c r="L13" s="2" t="s">
        <v>126</v>
      </c>
      <c r="M13" s="2" t="s">
        <v>127</v>
      </c>
      <c r="N13" s="2" t="s">
        <v>128</v>
      </c>
      <c r="O13" s="2" t="s">
        <v>129</v>
      </c>
      <c r="P13" s="2" t="s">
        <v>1</v>
      </c>
    </row>
    <row r="14" spans="2:16">
      <c r="B14" s="127" t="s">
        <v>145</v>
      </c>
      <c r="C14" s="127"/>
      <c r="D14" s="2">
        <v>100</v>
      </c>
      <c r="E14" s="2">
        <v>100</v>
      </c>
      <c r="F14" s="2">
        <v>100</v>
      </c>
      <c r="G14" s="2">
        <v>100</v>
      </c>
      <c r="H14" s="2">
        <v>100</v>
      </c>
      <c r="I14" s="2">
        <v>100</v>
      </c>
      <c r="J14" s="2">
        <v>100</v>
      </c>
      <c r="K14" s="2">
        <v>100</v>
      </c>
      <c r="L14" s="2">
        <v>100</v>
      </c>
      <c r="M14" s="2">
        <v>100</v>
      </c>
      <c r="N14" s="2">
        <v>100</v>
      </c>
      <c r="O14" s="2">
        <v>100</v>
      </c>
      <c r="P14" s="2">
        <f>SUM(D14:O14)</f>
        <v>1200</v>
      </c>
    </row>
    <row r="15" spans="2:16">
      <c r="B15" s="135" t="s">
        <v>149</v>
      </c>
      <c r="C15" s="136"/>
      <c r="D15" s="134">
        <v>30</v>
      </c>
      <c r="E15" s="134">
        <v>30</v>
      </c>
      <c r="F15" s="134">
        <v>30</v>
      </c>
      <c r="G15" s="134">
        <v>30</v>
      </c>
      <c r="H15" s="134">
        <v>30</v>
      </c>
      <c r="I15" s="134">
        <v>30</v>
      </c>
      <c r="J15" s="134">
        <v>30</v>
      </c>
      <c r="K15" s="134">
        <v>30</v>
      </c>
      <c r="L15" s="134">
        <v>30</v>
      </c>
      <c r="M15" s="134">
        <v>30</v>
      </c>
      <c r="N15" s="134">
        <v>30</v>
      </c>
      <c r="O15" s="134">
        <v>30</v>
      </c>
      <c r="P15" s="2">
        <f t="shared" ref="P15:P16" si="0">SUM(D15:O15)</f>
        <v>360</v>
      </c>
    </row>
    <row r="16" spans="2:16">
      <c r="B16" s="135" t="s">
        <v>150</v>
      </c>
      <c r="C16" s="136"/>
      <c r="D16" s="134">
        <v>30</v>
      </c>
      <c r="E16" s="134">
        <v>30</v>
      </c>
      <c r="F16" s="134">
        <v>30</v>
      </c>
      <c r="G16" s="134">
        <v>30</v>
      </c>
      <c r="H16" s="134">
        <v>30</v>
      </c>
      <c r="I16" s="134">
        <v>30</v>
      </c>
      <c r="J16" s="134">
        <v>30</v>
      </c>
      <c r="K16" s="134">
        <v>30</v>
      </c>
      <c r="L16" s="134">
        <v>30</v>
      </c>
      <c r="M16" s="134">
        <v>30</v>
      </c>
      <c r="N16" s="134">
        <v>30</v>
      </c>
      <c r="O16" s="134">
        <v>30</v>
      </c>
      <c r="P16" s="2">
        <f t="shared" si="0"/>
        <v>360</v>
      </c>
    </row>
    <row r="17" spans="2:16" ht="15" thickBot="1">
      <c r="B17" s="137" t="s">
        <v>130</v>
      </c>
      <c r="C17" s="137"/>
      <c r="D17" s="88">
        <f>(E14*D9)+(E15*G9)+(E16*J9)</f>
        <v>234720</v>
      </c>
      <c r="E17" s="88">
        <f>(E14*D9)+(E15*G9)+(E16*J9)</f>
        <v>234720</v>
      </c>
      <c r="F17" s="88">
        <f>(F14*D9)+(F15*G9)+(F16*J9)</f>
        <v>234720</v>
      </c>
      <c r="G17" s="88">
        <f>(G14*D9)+(G15*G9)+(G16*J9)</f>
        <v>234720</v>
      </c>
      <c r="H17" s="88">
        <f>(H14*D9)+(H15*G9)+(H16*J9)</f>
        <v>234720</v>
      </c>
      <c r="I17" s="88">
        <f>(I14*D9)+(I15*G9)+(I16*J9)</f>
        <v>234720</v>
      </c>
      <c r="J17" s="88">
        <f>(J14*D9)+(J15*G9)+(J16*J9)</f>
        <v>234720</v>
      </c>
      <c r="K17" s="88">
        <f>(K14*D9)+(K15*G9)+(K16*J9)</f>
        <v>234720</v>
      </c>
      <c r="L17" s="88">
        <f>(L14*D9)+(L15*G9)+(L16*J9)</f>
        <v>234720</v>
      </c>
      <c r="M17" s="88">
        <f>(M14*D9)+(M15*G9)+(M16*J9)</f>
        <v>234720</v>
      </c>
      <c r="N17" s="88">
        <f>(N14*D9)+(N15*G9)+(N16*J9)</f>
        <v>234720</v>
      </c>
      <c r="O17" s="88">
        <f>(O14*D9)+(O15*G9)+(O16*J9)</f>
        <v>234720</v>
      </c>
      <c r="P17" s="88">
        <f>SUM(D17:O17)</f>
        <v>2816640</v>
      </c>
    </row>
    <row r="18" spans="2:16" ht="15" thickTop="1">
      <c r="B18" s="128" t="s">
        <v>138</v>
      </c>
      <c r="C18" s="1" t="s">
        <v>137</v>
      </c>
      <c r="D18" s="87">
        <f>(D4*D14)+(G4*D15)+(J4*D16)</f>
        <v>58960</v>
      </c>
      <c r="E18" s="87">
        <f>(D4*E14)+(G4*E15)+(J4*E16)</f>
        <v>58960</v>
      </c>
      <c r="F18" s="87">
        <f>(D4*F14)+(G4*F15)+(J4*F16)</f>
        <v>58960</v>
      </c>
      <c r="G18" s="87" t="e">
        <f t="shared" ref="F18:O18" si="1">(F4*G14)+(I4*G15)+(L4*G16)</f>
        <v>#VALUE!</v>
      </c>
      <c r="H18" s="87">
        <f t="shared" si="1"/>
        <v>48150</v>
      </c>
      <c r="I18" s="87">
        <f t="shared" si="1"/>
        <v>0</v>
      </c>
      <c r="J18" s="87" t="e">
        <f t="shared" si="1"/>
        <v>#VALUE!</v>
      </c>
      <c r="K18" s="87">
        <f t="shared" si="1"/>
        <v>31500</v>
      </c>
      <c r="L18" s="87">
        <f t="shared" si="1"/>
        <v>0</v>
      </c>
      <c r="M18" s="87">
        <f t="shared" si="1"/>
        <v>0</v>
      </c>
      <c r="N18" s="87">
        <f t="shared" si="1"/>
        <v>0</v>
      </c>
      <c r="O18" s="87">
        <f t="shared" si="1"/>
        <v>0</v>
      </c>
      <c r="P18" s="94" t="e">
        <f>SUM(D18:O18)</f>
        <v>#VALUE!</v>
      </c>
    </row>
    <row r="19" spans="2:16">
      <c r="B19" s="129"/>
      <c r="C19" s="2" t="s">
        <v>153</v>
      </c>
      <c r="D19" s="93">
        <v>0</v>
      </c>
      <c r="E19" s="93">
        <v>0</v>
      </c>
      <c r="F19" s="93">
        <f>(D6+D7)*F14</f>
        <v>78200</v>
      </c>
      <c r="G19" s="93">
        <f>(D6+D7)*G14</f>
        <v>78200</v>
      </c>
      <c r="H19" s="93">
        <f>(D6+D7)*H14</f>
        <v>78200</v>
      </c>
      <c r="I19" s="93">
        <f>(D6+D7)*I14</f>
        <v>78200</v>
      </c>
      <c r="J19" s="93">
        <f>(D6+D7)*J14</f>
        <v>78200</v>
      </c>
      <c r="K19" s="93">
        <f>(D6+D7)*K14</f>
        <v>78200</v>
      </c>
      <c r="L19" s="93">
        <f>(D6+D7)*L14</f>
        <v>78200</v>
      </c>
      <c r="M19" s="93">
        <f>(D6+D7)*M14</f>
        <v>78200</v>
      </c>
      <c r="N19" s="93">
        <f>(D6+D7)*N14</f>
        <v>78200</v>
      </c>
      <c r="O19" s="93">
        <f>(D6+D7)*O14</f>
        <v>78200</v>
      </c>
      <c r="P19" s="87">
        <f>SUM(D19:O19)</f>
        <v>782000</v>
      </c>
    </row>
    <row r="20" spans="2:16">
      <c r="B20" s="129"/>
      <c r="C20" s="2" t="s">
        <v>131</v>
      </c>
      <c r="D20" s="93">
        <v>0</v>
      </c>
      <c r="E20" s="93">
        <v>0</v>
      </c>
      <c r="F20" s="93">
        <v>50000</v>
      </c>
      <c r="G20" s="93">
        <v>50000</v>
      </c>
      <c r="H20" s="93">
        <v>50000</v>
      </c>
      <c r="I20" s="93">
        <v>50000</v>
      </c>
      <c r="J20" s="93">
        <v>50000</v>
      </c>
      <c r="K20" s="93">
        <v>50000</v>
      </c>
      <c r="L20" s="93">
        <v>50000</v>
      </c>
      <c r="M20" s="93">
        <v>50000</v>
      </c>
      <c r="N20" s="93">
        <v>50000</v>
      </c>
      <c r="O20" s="93">
        <v>50000</v>
      </c>
      <c r="P20" s="93">
        <f>SUM(D20:O20)</f>
        <v>500000</v>
      </c>
    </row>
    <row r="21" spans="2:16">
      <c r="B21" s="129"/>
      <c r="C21" s="2" t="s">
        <v>135</v>
      </c>
      <c r="D21" s="86" t="e">
        <f>D14/D19*100%</f>
        <v>#DIV/0!</v>
      </c>
      <c r="E21" s="86" t="e">
        <f>E14/E19*100%</f>
        <v>#DIV/0!</v>
      </c>
      <c r="F21" s="86">
        <f>F17/F20*100%</f>
        <v>4.6943999999999999</v>
      </c>
      <c r="G21" s="86">
        <f t="shared" ref="G21:O21" si="2">G17/G20*100%</f>
        <v>4.6943999999999999</v>
      </c>
      <c r="H21" s="86">
        <f t="shared" si="2"/>
        <v>4.6943999999999999</v>
      </c>
      <c r="I21" s="86">
        <f t="shared" si="2"/>
        <v>4.6943999999999999</v>
      </c>
      <c r="J21" s="86">
        <f t="shared" si="2"/>
        <v>4.6943999999999999</v>
      </c>
      <c r="K21" s="86">
        <f t="shared" si="2"/>
        <v>4.6943999999999999</v>
      </c>
      <c r="L21" s="86">
        <f t="shared" si="2"/>
        <v>4.6943999999999999</v>
      </c>
      <c r="M21" s="86">
        <f t="shared" si="2"/>
        <v>4.6943999999999999</v>
      </c>
      <c r="N21" s="86">
        <f t="shared" si="2"/>
        <v>4.6943999999999999</v>
      </c>
      <c r="O21" s="86">
        <f t="shared" si="2"/>
        <v>4.6943999999999999</v>
      </c>
      <c r="P21" s="86">
        <f>P17/P20*100%</f>
        <v>5.6332800000000001</v>
      </c>
    </row>
    <row r="22" spans="2:16" ht="15" thickBot="1">
      <c r="B22" s="130"/>
      <c r="C22" s="3" t="s">
        <v>8</v>
      </c>
      <c r="D22" s="88">
        <v>0</v>
      </c>
      <c r="E22" s="88">
        <v>0</v>
      </c>
      <c r="F22" s="88">
        <f>D8*F14</f>
        <v>10000</v>
      </c>
      <c r="G22" s="88">
        <f>D8*G14</f>
        <v>10000</v>
      </c>
      <c r="H22" s="88">
        <f>D8*H14</f>
        <v>10000</v>
      </c>
      <c r="I22" s="88">
        <f>D8*I14</f>
        <v>10000</v>
      </c>
      <c r="J22" s="88">
        <f>D8*J14</f>
        <v>10000</v>
      </c>
      <c r="K22" s="88">
        <f>D8*K14</f>
        <v>10000</v>
      </c>
      <c r="L22" s="88">
        <f>D8*L14</f>
        <v>10000</v>
      </c>
      <c r="M22" s="88">
        <f>D8*M14</f>
        <v>10000</v>
      </c>
      <c r="N22" s="88">
        <f>D8*N14</f>
        <v>10000</v>
      </c>
      <c r="O22" s="88">
        <f>D8*O14</f>
        <v>10000</v>
      </c>
      <c r="P22" s="88">
        <f>SUM(D22:O22)</f>
        <v>100000</v>
      </c>
    </row>
    <row r="23" spans="2:16" ht="15" thickTop="1">
      <c r="B23" s="138" t="s">
        <v>132</v>
      </c>
      <c r="C23" s="138"/>
      <c r="D23" s="87">
        <f>D17-D20</f>
        <v>234720</v>
      </c>
      <c r="E23" s="87">
        <f>E17-E20</f>
        <v>234720</v>
      </c>
      <c r="F23" s="87">
        <f>F17-(F18+F19+F20+F22)</f>
        <v>37560</v>
      </c>
      <c r="G23" s="87" t="e">
        <f t="shared" ref="G23:O23" si="3">G17-(G18+G19+G20+G22)</f>
        <v>#VALUE!</v>
      </c>
      <c r="H23" s="87">
        <f t="shared" si="3"/>
        <v>48370</v>
      </c>
      <c r="I23" s="87">
        <f t="shared" si="3"/>
        <v>96520</v>
      </c>
      <c r="J23" s="87" t="e">
        <f t="shared" si="3"/>
        <v>#VALUE!</v>
      </c>
      <c r="K23" s="87">
        <f t="shared" si="3"/>
        <v>65020</v>
      </c>
      <c r="L23" s="87">
        <f t="shared" si="3"/>
        <v>96520</v>
      </c>
      <c r="M23" s="87">
        <f t="shared" si="3"/>
        <v>96520</v>
      </c>
      <c r="N23" s="87">
        <f t="shared" si="3"/>
        <v>96520</v>
      </c>
      <c r="O23" s="87">
        <f t="shared" si="3"/>
        <v>96520</v>
      </c>
      <c r="P23" s="87" t="e">
        <f>P17-(P18+P19+P20+P22)</f>
        <v>#VALUE!</v>
      </c>
    </row>
    <row r="24" spans="2:16">
      <c r="B24" s="127" t="s">
        <v>136</v>
      </c>
      <c r="C24" s="127"/>
      <c r="D24" s="86" t="e">
        <f t="shared" ref="D24:P24" si="4">D23/D20*100%</f>
        <v>#DIV/0!</v>
      </c>
      <c r="E24" s="86" t="e">
        <f t="shared" si="4"/>
        <v>#DIV/0!</v>
      </c>
      <c r="F24" s="86">
        <f t="shared" si="4"/>
        <v>0.75119999999999998</v>
      </c>
      <c r="G24" s="86" t="e">
        <f t="shared" si="4"/>
        <v>#VALUE!</v>
      </c>
      <c r="H24" s="86">
        <f t="shared" si="4"/>
        <v>0.96740000000000004</v>
      </c>
      <c r="I24" s="86">
        <f t="shared" si="4"/>
        <v>1.9303999999999999</v>
      </c>
      <c r="J24" s="86" t="e">
        <f t="shared" si="4"/>
        <v>#VALUE!</v>
      </c>
      <c r="K24" s="86">
        <f t="shared" si="4"/>
        <v>1.3004</v>
      </c>
      <c r="L24" s="86">
        <f t="shared" si="4"/>
        <v>1.9303999999999999</v>
      </c>
      <c r="M24" s="86">
        <f t="shared" si="4"/>
        <v>1.9303999999999999</v>
      </c>
      <c r="N24" s="86">
        <f t="shared" si="4"/>
        <v>1.9303999999999999</v>
      </c>
      <c r="O24" s="86">
        <f t="shared" si="4"/>
        <v>1.9303999999999999</v>
      </c>
      <c r="P24" s="86" t="e">
        <f t="shared" si="4"/>
        <v>#VALUE!</v>
      </c>
    </row>
    <row r="26" spans="2:16">
      <c r="C26" s="2" t="s">
        <v>139</v>
      </c>
      <c r="D26" s="2">
        <f>D27*D28</f>
        <v>700</v>
      </c>
      <c r="E26" t="s">
        <v>117</v>
      </c>
    </row>
    <row r="27" spans="2:16">
      <c r="C27" s="2" t="s">
        <v>115</v>
      </c>
      <c r="D27" s="2">
        <v>7</v>
      </c>
    </row>
    <row r="28" spans="2:16">
      <c r="C28" s="2" t="s">
        <v>116</v>
      </c>
      <c r="D28" s="2">
        <v>100</v>
      </c>
    </row>
  </sheetData>
  <mergeCells count="10">
    <mergeCell ref="F2:G2"/>
    <mergeCell ref="I2:J2"/>
    <mergeCell ref="B15:C15"/>
    <mergeCell ref="B16:C16"/>
    <mergeCell ref="B13:C13"/>
    <mergeCell ref="B18:B22"/>
    <mergeCell ref="B23:C23"/>
    <mergeCell ref="B24:C24"/>
    <mergeCell ref="B17:C17"/>
    <mergeCell ref="B14:C14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8ED6-389F-6F42-93CA-668B625742E0}">
  <dimension ref="B2:P28"/>
  <sheetViews>
    <sheetView zoomScale="110" workbookViewId="0">
      <selection activeCell="I19" sqref="I19"/>
    </sheetView>
  </sheetViews>
  <sheetFormatPr baseColWidth="10" defaultRowHeight="14"/>
  <cols>
    <col min="1" max="1" width="1.5" customWidth="1"/>
    <col min="2" max="2" width="6.1640625" customWidth="1"/>
    <col min="3" max="3" width="23.5" customWidth="1"/>
    <col min="7" max="7" width="10.83203125" customWidth="1"/>
  </cols>
  <sheetData>
    <row r="2" spans="2:16">
      <c r="C2" t="s">
        <v>146</v>
      </c>
      <c r="E2" s="131"/>
      <c r="F2" s="133" t="s">
        <v>147</v>
      </c>
      <c r="G2" s="133"/>
      <c r="H2" s="131"/>
      <c r="I2" s="133" t="s">
        <v>148</v>
      </c>
      <c r="J2" s="133"/>
      <c r="K2" s="131"/>
    </row>
    <row r="3" spans="2:16">
      <c r="C3" s="2" t="s">
        <v>108</v>
      </c>
      <c r="D3" s="2">
        <v>3100</v>
      </c>
      <c r="E3" s="131"/>
      <c r="F3" s="2" t="s">
        <v>108</v>
      </c>
      <c r="G3" s="2">
        <v>2180</v>
      </c>
      <c r="H3" s="131"/>
      <c r="I3" s="2" t="s">
        <v>108</v>
      </c>
      <c r="J3" s="2">
        <v>1980</v>
      </c>
      <c r="K3" s="131"/>
    </row>
    <row r="4" spans="2:16">
      <c r="C4" s="2" t="s">
        <v>109</v>
      </c>
      <c r="D4" s="2">
        <v>379</v>
      </c>
      <c r="E4" s="131"/>
      <c r="F4" s="2" t="s">
        <v>109</v>
      </c>
      <c r="G4" s="2">
        <v>387</v>
      </c>
      <c r="H4" s="131"/>
      <c r="I4" s="2" t="s">
        <v>109</v>
      </c>
      <c r="J4" s="2">
        <v>315</v>
      </c>
      <c r="K4" s="131"/>
    </row>
    <row r="5" spans="2:16">
      <c r="C5" s="2" t="s">
        <v>110</v>
      </c>
      <c r="D5" s="86">
        <f>D4/D3</f>
        <v>0.12225806451612903</v>
      </c>
      <c r="E5" s="131"/>
      <c r="F5" s="2" t="s">
        <v>110</v>
      </c>
      <c r="G5" s="86">
        <f>G4/G3</f>
        <v>0.17752293577981651</v>
      </c>
      <c r="H5" s="131"/>
      <c r="I5" s="2" t="s">
        <v>110</v>
      </c>
      <c r="J5" s="86">
        <f>J4/J3</f>
        <v>0.15909090909090909</v>
      </c>
      <c r="K5" s="131"/>
    </row>
    <row r="6" spans="2:16">
      <c r="C6" s="2" t="s">
        <v>152</v>
      </c>
      <c r="D6" s="2">
        <v>348</v>
      </c>
      <c r="E6" s="131"/>
      <c r="F6" s="2" t="s">
        <v>111</v>
      </c>
      <c r="G6" s="2">
        <v>348</v>
      </c>
      <c r="H6" s="131"/>
      <c r="I6" s="2" t="s">
        <v>111</v>
      </c>
      <c r="J6" s="2">
        <v>348</v>
      </c>
      <c r="K6" s="131"/>
    </row>
    <row r="7" spans="2:16">
      <c r="C7" s="2" t="s">
        <v>151</v>
      </c>
      <c r="D7" s="2">
        <v>434</v>
      </c>
      <c r="E7" s="131"/>
      <c r="F7" s="2" t="s">
        <v>112</v>
      </c>
      <c r="G7" s="2">
        <v>434</v>
      </c>
      <c r="H7" s="131"/>
      <c r="I7" s="2" t="s">
        <v>112</v>
      </c>
      <c r="J7" s="2">
        <v>434</v>
      </c>
      <c r="K7" s="131"/>
    </row>
    <row r="8" spans="2:16">
      <c r="C8" s="2" t="s">
        <v>8</v>
      </c>
      <c r="D8" s="2">
        <v>100</v>
      </c>
      <c r="E8" s="131"/>
      <c r="F8" s="2" t="s">
        <v>8</v>
      </c>
      <c r="G8" s="2">
        <v>100</v>
      </c>
      <c r="H8" s="131"/>
      <c r="I8" s="2" t="s">
        <v>8</v>
      </c>
      <c r="J8" s="2">
        <v>100</v>
      </c>
      <c r="K8" s="131"/>
    </row>
    <row r="9" spans="2:16">
      <c r="C9" s="2" t="s">
        <v>113</v>
      </c>
      <c r="D9" s="2">
        <f>D3-D4-D6-D7-D8</f>
        <v>1839</v>
      </c>
      <c r="E9" s="131"/>
      <c r="F9" s="2" t="s">
        <v>113</v>
      </c>
      <c r="G9" s="2">
        <f>G3-G4-G6-G7-G8</f>
        <v>911</v>
      </c>
      <c r="H9" s="131"/>
      <c r="I9" s="2" t="s">
        <v>113</v>
      </c>
      <c r="J9" s="2">
        <f>J3-J4-J6-J7-J8</f>
        <v>783</v>
      </c>
      <c r="K9" s="131"/>
    </row>
    <row r="10" spans="2:16">
      <c r="C10" s="2" t="s">
        <v>114</v>
      </c>
      <c r="D10" s="86">
        <f>D9/D3</f>
        <v>0.59322580645161294</v>
      </c>
      <c r="E10" s="131"/>
      <c r="F10" s="2" t="s">
        <v>114</v>
      </c>
      <c r="G10" s="86">
        <f>G9/G3</f>
        <v>0.41788990825688072</v>
      </c>
      <c r="H10" s="131"/>
      <c r="I10" s="2" t="s">
        <v>114</v>
      </c>
      <c r="J10" s="86">
        <f>J9/J3</f>
        <v>0.39545454545454545</v>
      </c>
      <c r="K10" s="131"/>
    </row>
    <row r="11" spans="2:16">
      <c r="E11" s="131"/>
      <c r="F11" s="131"/>
      <c r="G11" s="131"/>
      <c r="H11" s="131"/>
      <c r="I11" s="131"/>
      <c r="J11" s="132"/>
      <c r="K11" s="131"/>
    </row>
    <row r="13" spans="2:16">
      <c r="B13" s="127"/>
      <c r="C13" s="127"/>
      <c r="D13" s="2" t="s">
        <v>118</v>
      </c>
      <c r="E13" s="2" t="s">
        <v>119</v>
      </c>
      <c r="F13" s="2" t="s">
        <v>120</v>
      </c>
      <c r="G13" s="2" t="s">
        <v>121</v>
      </c>
      <c r="H13" s="2" t="s">
        <v>122</v>
      </c>
      <c r="I13" s="2" t="s">
        <v>123</v>
      </c>
      <c r="J13" s="2" t="s">
        <v>124</v>
      </c>
      <c r="K13" s="2" t="s">
        <v>125</v>
      </c>
      <c r="L13" s="2" t="s">
        <v>126</v>
      </c>
      <c r="M13" s="2" t="s">
        <v>127</v>
      </c>
      <c r="N13" s="2" t="s">
        <v>128</v>
      </c>
      <c r="O13" s="2" t="s">
        <v>129</v>
      </c>
      <c r="P13" s="2" t="s">
        <v>1</v>
      </c>
    </row>
    <row r="14" spans="2:16">
      <c r="B14" s="127" t="s">
        <v>145</v>
      </c>
      <c r="C14" s="127"/>
      <c r="D14" s="2">
        <v>100</v>
      </c>
      <c r="E14" s="2">
        <v>100</v>
      </c>
      <c r="F14" s="2">
        <v>100</v>
      </c>
      <c r="G14" s="2">
        <v>100</v>
      </c>
      <c r="H14" s="2">
        <v>100</v>
      </c>
      <c r="I14" s="2">
        <v>100</v>
      </c>
      <c r="J14" s="2">
        <v>100</v>
      </c>
      <c r="K14" s="2">
        <v>100</v>
      </c>
      <c r="L14" s="2">
        <v>100</v>
      </c>
      <c r="M14" s="2">
        <v>100</v>
      </c>
      <c r="N14" s="2">
        <v>100</v>
      </c>
      <c r="O14" s="2">
        <v>100</v>
      </c>
      <c r="P14" s="2">
        <f>SUM(D14:O14)</f>
        <v>1200</v>
      </c>
    </row>
    <row r="15" spans="2:16">
      <c r="B15" s="135" t="s">
        <v>149</v>
      </c>
      <c r="C15" s="136"/>
      <c r="D15" s="134">
        <v>30</v>
      </c>
      <c r="E15" s="134">
        <v>30</v>
      </c>
      <c r="F15" s="134">
        <v>30</v>
      </c>
      <c r="G15" s="134">
        <v>30</v>
      </c>
      <c r="H15" s="134">
        <v>30</v>
      </c>
      <c r="I15" s="134">
        <v>30</v>
      </c>
      <c r="J15" s="134">
        <v>30</v>
      </c>
      <c r="K15" s="134">
        <v>30</v>
      </c>
      <c r="L15" s="134">
        <v>30</v>
      </c>
      <c r="M15" s="134">
        <v>30</v>
      </c>
      <c r="N15" s="134">
        <v>30</v>
      </c>
      <c r="O15" s="134">
        <v>30</v>
      </c>
      <c r="P15" s="2">
        <f t="shared" ref="P15:P16" si="0">SUM(D15:O15)</f>
        <v>360</v>
      </c>
    </row>
    <row r="16" spans="2:16">
      <c r="B16" s="135" t="s">
        <v>150</v>
      </c>
      <c r="C16" s="136"/>
      <c r="D16" s="134">
        <v>30</v>
      </c>
      <c r="E16" s="134">
        <v>30</v>
      </c>
      <c r="F16" s="134">
        <v>30</v>
      </c>
      <c r="G16" s="134">
        <v>30</v>
      </c>
      <c r="H16" s="134">
        <v>30</v>
      </c>
      <c r="I16" s="134">
        <v>30</v>
      </c>
      <c r="J16" s="134">
        <v>30</v>
      </c>
      <c r="K16" s="134">
        <v>30</v>
      </c>
      <c r="L16" s="134">
        <v>30</v>
      </c>
      <c r="M16" s="134">
        <v>30</v>
      </c>
      <c r="N16" s="134">
        <v>30</v>
      </c>
      <c r="O16" s="134">
        <v>30</v>
      </c>
      <c r="P16" s="2">
        <f t="shared" si="0"/>
        <v>360</v>
      </c>
    </row>
    <row r="17" spans="2:16" ht="15" thickBot="1">
      <c r="B17" s="137" t="s">
        <v>130</v>
      </c>
      <c r="C17" s="137"/>
      <c r="D17" s="88">
        <f>(E14*D9)+(E15*G9)+(E16*J9)</f>
        <v>234720</v>
      </c>
      <c r="E17" s="88">
        <f>(E14*D9)+(E15*G9)+(E16*J9)</f>
        <v>234720</v>
      </c>
      <c r="F17" s="88">
        <f>(F14*D9)+(F15*G9)+(F16*J9)</f>
        <v>234720</v>
      </c>
      <c r="G17" s="88">
        <f>(G14*D9)+(G15*G9)+(G16*J9)</f>
        <v>234720</v>
      </c>
      <c r="H17" s="88">
        <f>(H14*D9)+(H15*G9)+(H16*J9)</f>
        <v>234720</v>
      </c>
      <c r="I17" s="88">
        <f>(I14*D9)+(I15*G9)+(I16*J9)</f>
        <v>234720</v>
      </c>
      <c r="J17" s="88">
        <f>(J14*D9)+(J15*G9)+(J16*J9)</f>
        <v>234720</v>
      </c>
      <c r="K17" s="88">
        <f>(K14*D9)+(K15*G9)+(K16*J9)</f>
        <v>234720</v>
      </c>
      <c r="L17" s="88">
        <f>(L14*D9)+(L15*G9)+(L16*J9)</f>
        <v>234720</v>
      </c>
      <c r="M17" s="88">
        <f>(M14*D9)+(M15*G9)+(M16*J9)</f>
        <v>234720</v>
      </c>
      <c r="N17" s="88">
        <f>(N14*D9)+(N15*G9)+(N16*J9)</f>
        <v>234720</v>
      </c>
      <c r="O17" s="88">
        <f>(O14*D9)+(O15*G9)+(O16*J9)</f>
        <v>234720</v>
      </c>
      <c r="P17" s="88">
        <f>SUM(D17:O17)</f>
        <v>2816640</v>
      </c>
    </row>
    <row r="18" spans="2:16" ht="15" thickTop="1">
      <c r="B18" s="128" t="s">
        <v>138</v>
      </c>
      <c r="C18" s="1" t="s">
        <v>137</v>
      </c>
      <c r="D18" s="87">
        <f>(D4*D14)+(G4*D15)+(J4*D16)</f>
        <v>58960</v>
      </c>
      <c r="E18" s="87">
        <f>(D4*E14)+(G4*E15)+(J4*E16)</f>
        <v>58960</v>
      </c>
      <c r="F18" s="87">
        <f>(D4*F14)+(G4*F15)+(J4*F16)</f>
        <v>58960</v>
      </c>
      <c r="G18" s="87">
        <f t="shared" ref="G18:O18" si="1">(E4*G14)+(H4*G15)+(K4*G16)</f>
        <v>0</v>
      </c>
      <c r="H18" s="87" t="e">
        <f t="shared" si="1"/>
        <v>#VALUE!</v>
      </c>
      <c r="I18" s="87">
        <f t="shared" si="1"/>
        <v>48150</v>
      </c>
      <c r="J18" s="87">
        <f t="shared" si="1"/>
        <v>0</v>
      </c>
      <c r="K18" s="87" t="e">
        <f t="shared" si="1"/>
        <v>#VALUE!</v>
      </c>
      <c r="L18" s="87">
        <f t="shared" si="1"/>
        <v>31500</v>
      </c>
      <c r="M18" s="87">
        <f t="shared" si="1"/>
        <v>0</v>
      </c>
      <c r="N18" s="87">
        <f t="shared" si="1"/>
        <v>0</v>
      </c>
      <c r="O18" s="87">
        <f t="shared" si="1"/>
        <v>0</v>
      </c>
      <c r="P18" s="94" t="e">
        <f>SUM(D18:O18)</f>
        <v>#VALUE!</v>
      </c>
    </row>
    <row r="19" spans="2:16">
      <c r="B19" s="129"/>
      <c r="C19" s="2" t="s">
        <v>153</v>
      </c>
      <c r="D19" s="93">
        <v>0</v>
      </c>
      <c r="E19" s="93">
        <v>0</v>
      </c>
      <c r="F19" s="93">
        <f>(D6+D7)*F14</f>
        <v>78200</v>
      </c>
      <c r="G19" s="93">
        <f>(D6+D7)*G14</f>
        <v>78200</v>
      </c>
      <c r="H19" s="93">
        <f>(D6+D7)*H14</f>
        <v>78200</v>
      </c>
      <c r="I19" s="93">
        <f>(D6+D7)*I14</f>
        <v>78200</v>
      </c>
      <c r="J19" s="93">
        <f>(D6+D7)*J14</f>
        <v>78200</v>
      </c>
      <c r="K19" s="93">
        <f>(D6+D7)*K14</f>
        <v>78200</v>
      </c>
      <c r="L19" s="93">
        <f>(D6+D7)*L14</f>
        <v>78200</v>
      </c>
      <c r="M19" s="93">
        <f>(D6+D7)*M14</f>
        <v>78200</v>
      </c>
      <c r="N19" s="93">
        <f>(D6+D7)*N14</f>
        <v>78200</v>
      </c>
      <c r="O19" s="93">
        <f>(D6+D7)*O14</f>
        <v>78200</v>
      </c>
      <c r="P19" s="87">
        <f>SUM(D19:O19)</f>
        <v>782000</v>
      </c>
    </row>
    <row r="20" spans="2:16">
      <c r="B20" s="129"/>
      <c r="C20" s="2" t="s">
        <v>131</v>
      </c>
      <c r="D20" s="93">
        <v>0</v>
      </c>
      <c r="E20" s="93">
        <v>0</v>
      </c>
      <c r="F20" s="93">
        <v>50000</v>
      </c>
      <c r="G20" s="93">
        <v>50000</v>
      </c>
      <c r="H20" s="93">
        <v>50000</v>
      </c>
      <c r="I20" s="93">
        <v>50000</v>
      </c>
      <c r="J20" s="93">
        <v>50000</v>
      </c>
      <c r="K20" s="93">
        <v>50000</v>
      </c>
      <c r="L20" s="93">
        <v>50000</v>
      </c>
      <c r="M20" s="93">
        <v>50000</v>
      </c>
      <c r="N20" s="93">
        <v>50000</v>
      </c>
      <c r="O20" s="93">
        <v>50000</v>
      </c>
      <c r="P20" s="93">
        <f>SUM(D20:O20)</f>
        <v>500000</v>
      </c>
    </row>
    <row r="21" spans="2:16">
      <c r="B21" s="129"/>
      <c r="C21" s="2" t="s">
        <v>135</v>
      </c>
      <c r="D21" s="86" t="e">
        <f>D14/D19*100%</f>
        <v>#DIV/0!</v>
      </c>
      <c r="E21" s="86" t="e">
        <f>E14/E19*100%</f>
        <v>#DIV/0!</v>
      </c>
      <c r="F21" s="86">
        <f>F17/F20*100%</f>
        <v>4.6943999999999999</v>
      </c>
      <c r="G21" s="86">
        <f t="shared" ref="G21:O21" si="2">G17/G20*100%</f>
        <v>4.6943999999999999</v>
      </c>
      <c r="H21" s="86">
        <f t="shared" si="2"/>
        <v>4.6943999999999999</v>
      </c>
      <c r="I21" s="86">
        <f t="shared" si="2"/>
        <v>4.6943999999999999</v>
      </c>
      <c r="J21" s="86">
        <f t="shared" si="2"/>
        <v>4.6943999999999999</v>
      </c>
      <c r="K21" s="86">
        <f t="shared" si="2"/>
        <v>4.6943999999999999</v>
      </c>
      <c r="L21" s="86">
        <f t="shared" si="2"/>
        <v>4.6943999999999999</v>
      </c>
      <c r="M21" s="86">
        <f t="shared" si="2"/>
        <v>4.6943999999999999</v>
      </c>
      <c r="N21" s="86">
        <f t="shared" si="2"/>
        <v>4.6943999999999999</v>
      </c>
      <c r="O21" s="86">
        <f t="shared" si="2"/>
        <v>4.6943999999999999</v>
      </c>
      <c r="P21" s="86">
        <f>P17/P20*100%</f>
        <v>5.6332800000000001</v>
      </c>
    </row>
    <row r="22" spans="2:16" ht="15" thickBot="1">
      <c r="B22" s="130"/>
      <c r="C22" s="3" t="s">
        <v>8</v>
      </c>
      <c r="D22" s="88">
        <v>0</v>
      </c>
      <c r="E22" s="88">
        <v>0</v>
      </c>
      <c r="F22" s="88">
        <f>D8*F14</f>
        <v>10000</v>
      </c>
      <c r="G22" s="88">
        <f>D8*G14</f>
        <v>10000</v>
      </c>
      <c r="H22" s="88">
        <f>D8*H14</f>
        <v>10000</v>
      </c>
      <c r="I22" s="88">
        <f>D8*I14</f>
        <v>10000</v>
      </c>
      <c r="J22" s="88">
        <f>D8*J14</f>
        <v>10000</v>
      </c>
      <c r="K22" s="88">
        <f>D8*K14</f>
        <v>10000</v>
      </c>
      <c r="L22" s="88">
        <f>D8*L14</f>
        <v>10000</v>
      </c>
      <c r="M22" s="88">
        <f>D8*M14</f>
        <v>10000</v>
      </c>
      <c r="N22" s="88">
        <f>D8*N14</f>
        <v>10000</v>
      </c>
      <c r="O22" s="88">
        <f>D8*O14</f>
        <v>10000</v>
      </c>
      <c r="P22" s="88">
        <f>SUM(D22:O22)</f>
        <v>100000</v>
      </c>
    </row>
    <row r="23" spans="2:16" ht="15" thickTop="1">
      <c r="B23" s="138" t="s">
        <v>132</v>
      </c>
      <c r="C23" s="138"/>
      <c r="D23" s="87">
        <f>D17-D20</f>
        <v>234720</v>
      </c>
      <c r="E23" s="87">
        <f>E17-E20</f>
        <v>234720</v>
      </c>
      <c r="F23" s="87">
        <f>F17-(F18+F19+F20+F22)</f>
        <v>37560</v>
      </c>
      <c r="G23" s="87">
        <f t="shared" ref="G23:O23" si="3">G17-(G18+G19+G20+G22)</f>
        <v>96520</v>
      </c>
      <c r="H23" s="87" t="e">
        <f t="shared" si="3"/>
        <v>#VALUE!</v>
      </c>
      <c r="I23" s="87">
        <f t="shared" si="3"/>
        <v>48370</v>
      </c>
      <c r="J23" s="87">
        <f t="shared" si="3"/>
        <v>96520</v>
      </c>
      <c r="K23" s="87" t="e">
        <f t="shared" si="3"/>
        <v>#VALUE!</v>
      </c>
      <c r="L23" s="87">
        <f t="shared" si="3"/>
        <v>65020</v>
      </c>
      <c r="M23" s="87">
        <f t="shared" si="3"/>
        <v>96520</v>
      </c>
      <c r="N23" s="87">
        <f t="shared" si="3"/>
        <v>96520</v>
      </c>
      <c r="O23" s="87">
        <f t="shared" si="3"/>
        <v>96520</v>
      </c>
      <c r="P23" s="87" t="e">
        <f>P17-(P18+P19+P20+P22)</f>
        <v>#VALUE!</v>
      </c>
    </row>
    <row r="24" spans="2:16">
      <c r="B24" s="127" t="s">
        <v>136</v>
      </c>
      <c r="C24" s="127"/>
      <c r="D24" s="86" t="e">
        <f t="shared" ref="D24:P24" si="4">D23/D20*100%</f>
        <v>#DIV/0!</v>
      </c>
      <c r="E24" s="86" t="e">
        <f t="shared" si="4"/>
        <v>#DIV/0!</v>
      </c>
      <c r="F24" s="86">
        <f t="shared" si="4"/>
        <v>0.75119999999999998</v>
      </c>
      <c r="G24" s="86">
        <f t="shared" si="4"/>
        <v>1.9303999999999999</v>
      </c>
      <c r="H24" s="86" t="e">
        <f t="shared" si="4"/>
        <v>#VALUE!</v>
      </c>
      <c r="I24" s="86">
        <f t="shared" si="4"/>
        <v>0.96740000000000004</v>
      </c>
      <c r="J24" s="86">
        <f t="shared" si="4"/>
        <v>1.9303999999999999</v>
      </c>
      <c r="K24" s="86" t="e">
        <f t="shared" si="4"/>
        <v>#VALUE!</v>
      </c>
      <c r="L24" s="86">
        <f t="shared" si="4"/>
        <v>1.3004</v>
      </c>
      <c r="M24" s="86">
        <f t="shared" si="4"/>
        <v>1.9303999999999999</v>
      </c>
      <c r="N24" s="86">
        <f t="shared" si="4"/>
        <v>1.9303999999999999</v>
      </c>
      <c r="O24" s="86">
        <f t="shared" si="4"/>
        <v>1.9303999999999999</v>
      </c>
      <c r="P24" s="86" t="e">
        <f t="shared" si="4"/>
        <v>#VALUE!</v>
      </c>
    </row>
    <row r="26" spans="2:16">
      <c r="C26" s="2" t="s">
        <v>139</v>
      </c>
      <c r="D26" s="2">
        <f>D27*D28</f>
        <v>700</v>
      </c>
      <c r="E26" t="s">
        <v>117</v>
      </c>
    </row>
    <row r="27" spans="2:16">
      <c r="C27" s="2" t="s">
        <v>115</v>
      </c>
      <c r="D27" s="2">
        <v>7</v>
      </c>
    </row>
    <row r="28" spans="2:16">
      <c r="C28" s="2" t="s">
        <v>116</v>
      </c>
      <c r="D28" s="2">
        <v>100</v>
      </c>
    </row>
  </sheetData>
  <mergeCells count="10">
    <mergeCell ref="B17:C17"/>
    <mergeCell ref="B18:B22"/>
    <mergeCell ref="B23:C23"/>
    <mergeCell ref="B24:C24"/>
    <mergeCell ref="F2:G2"/>
    <mergeCell ref="I2:J2"/>
    <mergeCell ref="B13:C13"/>
    <mergeCell ref="B14:C14"/>
    <mergeCell ref="B15:C15"/>
    <mergeCell ref="B16:C1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月別PL計画表（第1期）</vt:lpstr>
      <vt:lpstr>月別販管費計画表（第1期）</vt:lpstr>
      <vt:lpstr>シミュレーション表（1年目） </vt:lpstr>
      <vt:lpstr>代理店</vt:lpstr>
      <vt:lpstr>Amazon(モール)</vt:lpstr>
      <vt:lpstr>セールモンスター（モール）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鈴木由美子</dc:creator>
  <cp:lastModifiedBy>恭平 依田</cp:lastModifiedBy>
  <cp:lastPrinted>2019-11-15T02:35:46Z</cp:lastPrinted>
  <dcterms:created xsi:type="dcterms:W3CDTF">2019-11-11T07:50:47Z</dcterms:created>
  <dcterms:modified xsi:type="dcterms:W3CDTF">2023-02-18T09:02:31Z</dcterms:modified>
</cp:coreProperties>
</file>