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p11\Box\本社経理\売上・粗利実績表\第22期　売上・粗利実績表\R5.1月分\"/>
    </mc:Choice>
  </mc:AlternateContent>
  <xr:revisionPtr revIDLastSave="0" documentId="13_ncr:1_{DE96474F-CAA4-40BD-9D96-477425DCEC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合計" sheetId="23" r:id="rId1"/>
    <sheet name="①" sheetId="12" r:id="rId2"/>
    <sheet name="②" sheetId="18" r:id="rId3"/>
    <sheet name="③" sheetId="21" r:id="rId4"/>
    <sheet name="④" sheetId="19" r:id="rId5"/>
    <sheet name="⑤" sheetId="20" r:id="rId6"/>
    <sheet name="⑥" sheetId="31" r:id="rId7"/>
    <sheet name="H" sheetId="24" r:id="rId8"/>
    <sheet name="大1" sheetId="25" state="hidden" r:id="rId9"/>
    <sheet name="大2" sheetId="26" state="hidden" r:id="rId10"/>
    <sheet name="大3" sheetId="33" state="hidden" r:id="rId11"/>
    <sheet name="名" sheetId="27" state="hidden" r:id="rId12"/>
    <sheet name="東" sheetId="28" state="hidden" r:id="rId13"/>
    <sheet name="k" sheetId="32" state="hidden" r:id="rId14"/>
    <sheet name="李" sheetId="22" state="hidden" r:id="rId15"/>
    <sheet name="項目の説明（営業部課）" sheetId="3" state="hidden" r:id="rId16"/>
    <sheet name="項目の説明（本社）" sheetId="6" state="hidden" r:id="rId17"/>
    <sheet name="Sheet1" sheetId="29" state="hidden" r:id="rId18"/>
    <sheet name="Sheet2" sheetId="30" state="hidden" r:id="rId19"/>
  </sheets>
  <externalReferences>
    <externalReference r:id="rId20"/>
  </externalReferences>
  <definedNames>
    <definedName name="_xlnm._FilterDatabase" localSheetId="13" hidden="1">k!$A$3:$O$195</definedName>
    <definedName name="_xlnm._FilterDatabase" localSheetId="8" hidden="1">大1!$A$3:$O$400</definedName>
    <definedName name="_xlnm._FilterDatabase" localSheetId="9" hidden="1">大2!$A$3:$O$156</definedName>
    <definedName name="_xlnm._FilterDatabase" localSheetId="10" hidden="1">大3!$A$3:$O$156</definedName>
    <definedName name="_xlnm._FilterDatabase" localSheetId="12" hidden="1">東!$A$3:$O$195</definedName>
    <definedName name="_xlnm._FilterDatabase" localSheetId="11" hidden="1">名!$A$3:$T$876</definedName>
    <definedName name="_xlnm._FilterDatabase" localSheetId="14" hidden="1">李!$A$3:$O$29</definedName>
    <definedName name="②" localSheetId="3">#REF!,#REF!,#REF!,#REF!,#REF!,#REF!,#REF!,#REF!,#REF!,#REF!,#REF!,#REF!,#REF!,#REF!,#REF!,#REF!,#REF!</definedName>
    <definedName name="②" localSheetId="6">#REF!,#REF!,#REF!,#REF!,#REF!,#REF!,#REF!,#REF!,#REF!,#REF!,#REF!,#REF!,#REF!,#REF!,#REF!,#REF!,#REF!</definedName>
    <definedName name="②" localSheetId="14">#REF!,#REF!,#REF!,#REF!,#REF!,#REF!,#REF!,#REF!,#REF!,#REF!,#REF!,#REF!,#REF!,#REF!,#REF!,#REF!,#REF!</definedName>
    <definedName name="_xlnm.Print_Area" localSheetId="1">①!$A$1:$AN$66</definedName>
    <definedName name="_xlnm.Print_Area" localSheetId="4">④!$A$1:$AN$65</definedName>
    <definedName name="_xlnm.Print_Area" localSheetId="5">⑤!$A$1:$AN$65</definedName>
    <definedName name="_xlnm.Print_Area" localSheetId="6">⑥!$A$1:$AN$65</definedName>
    <definedName name="_xlnm.Print_Area" localSheetId="7">H!$A$1:$AN$63</definedName>
    <definedName name="_xlnm.Print_Area" localSheetId="13">k!$A$1:$O$182</definedName>
    <definedName name="_xlnm.Print_Area" localSheetId="0">合計!$A$1:$AN$62</definedName>
    <definedName name="_xlnm.Print_Area" localSheetId="8">大1!$A$1:$O$400</definedName>
    <definedName name="_xlnm.Print_Area" localSheetId="9">大2!$A$1:$O$143</definedName>
    <definedName name="_xlnm.Print_Area" localSheetId="10">大3!$A$1:$O$143</definedName>
    <definedName name="_xlnm.Print_Area" localSheetId="12">東!$A$1:$O$182</definedName>
    <definedName name="_xlnm.Print_Area" localSheetId="11">名!$A$1:$O$863</definedName>
    <definedName name="_xlnm.Print_Area" localSheetId="14">李!$A$1:$O$16</definedName>
    <definedName name="_xlnm.Print_Titles" localSheetId="1">①!$A:$B</definedName>
    <definedName name="_xlnm.Print_Titles" localSheetId="2">②!$A:$B</definedName>
    <definedName name="_xlnm.Print_Titles" localSheetId="3">③!$A:$B</definedName>
    <definedName name="_xlnm.Print_Titles" localSheetId="4">④!$A:$B</definedName>
    <definedName name="_xlnm.Print_Titles" localSheetId="5">⑤!$A:$B</definedName>
    <definedName name="_xlnm.Print_Titles" localSheetId="6">⑥!$A:$B</definedName>
    <definedName name="_xlnm.Print_Titles" localSheetId="7">H!$A:$B</definedName>
    <definedName name="_xlnm.Print_Titles" localSheetId="13">k!$1:$3</definedName>
    <definedName name="_xlnm.Print_Titles" localSheetId="0">合計!$A:$B</definedName>
    <definedName name="_xlnm.Print_Titles" localSheetId="8">大1!$1:$3</definedName>
    <definedName name="_xlnm.Print_Titles" localSheetId="9">大2!$1:$3</definedName>
    <definedName name="_xlnm.Print_Titles" localSheetId="10">大3!$1:$3</definedName>
    <definedName name="_xlnm.Print_Titles" localSheetId="12">東!$1:$3</definedName>
    <definedName name="_xlnm.Print_Titles" localSheetId="11">名!$1:$3</definedName>
    <definedName name="_xlnm.Print_Titles" localSheetId="14">李!$1:$3</definedName>
    <definedName name="マイナス" localSheetId="3">#REF!,#REF!,#REF!,#REF!,#REF!,#REF!,#REF!,#REF!,#REF!,#REF!,#REF!,#REF!,#REF!,#REF!,#REF!,#REF!,#REF!</definedName>
    <definedName name="マイナス" localSheetId="6">#REF!,#REF!,#REF!,#REF!,#REF!,#REF!,#REF!,#REF!,#REF!,#REF!,#REF!,#REF!,#REF!,#REF!,#REF!,#REF!,#REF!</definedName>
    <definedName name="マイナス" localSheetId="14">李!#REF!,李!#REF!,李!#REF!,李!#REF!,李!#REF!,李!#REF!,李!#REF!,李!#REF!,李!#REF!,李!#REF!,李!#REF!,李!#REF!,李!#REF!,李!#REF!,李!#REF!,李!#REF!,李!#REF!</definedName>
    <definedName name="マイナス数値">[1]本社!$D$8:$I$8,[1]本社!$D$21:$I$21,[1]本社!$K$8:$P$8,[1]本社!$K$21:$P$21</definedName>
    <definedName name="書込み禁止">[1]本社!$A$3:$B$15,[1]本社!$D$14:$D$15,[1]本社!$D$13,[1]本社!$E$13:$S$15,[1]本社!$R$3:$S$51,[1]本社!$D$48:$Q$51,[1]本社!$D$24:$R$24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59" i="23" l="1"/>
  <c r="AH59" i="23"/>
  <c r="AN58" i="23"/>
  <c r="AN57" i="23"/>
  <c r="AN56" i="23"/>
  <c r="AN55" i="23"/>
  <c r="AN54" i="23"/>
  <c r="AN61" i="23"/>
  <c r="AN39" i="23"/>
  <c r="AN53" i="23"/>
  <c r="AN52" i="23"/>
  <c r="AN51" i="23"/>
  <c r="AN50" i="23"/>
  <c r="AN49" i="23"/>
  <c r="AN48" i="23"/>
  <c r="AN47" i="23"/>
  <c r="AN46" i="23"/>
  <c r="AN45" i="23"/>
  <c r="AN44" i="23"/>
  <c r="AN43" i="23"/>
  <c r="AN42" i="23"/>
  <c r="AN41" i="23"/>
  <c r="AN40" i="23"/>
  <c r="AN38" i="23"/>
  <c r="AN37" i="23"/>
  <c r="AN36" i="23"/>
  <c r="AN35" i="23"/>
  <c r="AN34" i="23"/>
  <c r="AN33" i="23"/>
  <c r="AN32" i="23"/>
  <c r="AN31" i="23"/>
  <c r="AN30" i="23"/>
  <c r="AN29" i="23"/>
  <c r="AN28" i="23"/>
  <c r="AN27" i="23"/>
  <c r="AN26" i="23"/>
  <c r="AN25" i="23"/>
  <c r="AN24" i="23"/>
  <c r="AN23" i="23"/>
  <c r="AN21" i="23"/>
  <c r="AN20" i="23"/>
  <c r="AN19" i="23"/>
  <c r="AN18" i="23"/>
  <c r="AN17" i="23"/>
  <c r="AN16" i="23"/>
  <c r="AN15" i="23"/>
  <c r="AN14" i="23"/>
  <c r="AN13" i="23"/>
  <c r="AN12" i="23"/>
  <c r="AN11" i="23"/>
  <c r="AN10" i="23"/>
  <c r="AN9" i="23"/>
  <c r="AN8" i="23"/>
  <c r="AN7" i="23"/>
  <c r="AN6" i="23"/>
  <c r="AN5" i="23"/>
  <c r="AN59" i="24"/>
  <c r="AN58" i="24"/>
  <c r="AN57" i="24"/>
  <c r="AN56" i="24"/>
  <c r="AN55" i="24"/>
  <c r="AN54" i="24"/>
  <c r="AN53" i="24"/>
  <c r="AN52" i="24"/>
  <c r="AN51" i="24"/>
  <c r="AN50" i="24"/>
  <c r="AN49" i="24"/>
  <c r="AN48" i="24"/>
  <c r="AN47" i="24"/>
  <c r="AN46" i="24"/>
  <c r="AN45" i="24"/>
  <c r="AN44" i="24"/>
  <c r="AN43" i="24"/>
  <c r="AN42" i="24"/>
  <c r="AN41" i="24"/>
  <c r="AN40" i="24"/>
  <c r="AN39" i="24"/>
  <c r="AN38" i="24"/>
  <c r="AN37" i="24"/>
  <c r="AN36" i="24"/>
  <c r="AN35" i="24"/>
  <c r="AN34" i="24"/>
  <c r="AN33" i="24"/>
  <c r="AN32" i="24"/>
  <c r="AN31" i="24"/>
  <c r="AN30" i="24"/>
  <c r="AN29" i="24"/>
  <c r="AN28" i="24"/>
  <c r="AN27" i="24"/>
  <c r="AN26" i="24"/>
  <c r="AN25" i="24"/>
  <c r="AN24" i="24"/>
  <c r="AN23" i="24"/>
  <c r="AN64" i="31"/>
  <c r="AN63" i="31"/>
  <c r="AN60" i="31"/>
  <c r="AN59" i="31"/>
  <c r="AN58" i="31"/>
  <c r="AN57" i="31"/>
  <c r="AN56" i="31"/>
  <c r="AN55" i="31"/>
  <c r="AN54" i="31"/>
  <c r="AN53" i="31"/>
  <c r="AN52" i="31"/>
  <c r="AN51" i="31"/>
  <c r="AN50" i="31"/>
  <c r="AN49" i="31"/>
  <c r="AN48" i="31"/>
  <c r="AN47" i="31"/>
  <c r="AN46" i="31"/>
  <c r="AN45" i="31"/>
  <c r="AN44" i="31"/>
  <c r="AN43" i="31"/>
  <c r="AN42" i="31"/>
  <c r="AN41" i="31"/>
  <c r="AN40" i="31"/>
  <c r="AN39" i="31"/>
  <c r="AN38" i="31"/>
  <c r="AN37" i="31"/>
  <c r="AN36" i="31"/>
  <c r="AN35" i="31"/>
  <c r="AN34" i="31"/>
  <c r="AN33" i="31"/>
  <c r="AN32" i="31"/>
  <c r="AN31" i="31"/>
  <c r="AN30" i="31"/>
  <c r="AN29" i="31"/>
  <c r="AN28" i="31"/>
  <c r="AN27" i="31"/>
  <c r="AN26" i="31"/>
  <c r="AN25" i="31"/>
  <c r="AN24" i="31"/>
  <c r="AN23" i="31"/>
  <c r="AN21" i="31"/>
  <c r="AN20" i="31"/>
  <c r="AN19" i="31"/>
  <c r="AN18" i="31"/>
  <c r="AN17" i="31"/>
  <c r="AN16" i="31"/>
  <c r="AN15" i="31"/>
  <c r="AN14" i="31"/>
  <c r="AN13" i="31"/>
  <c r="AN12" i="31"/>
  <c r="AN11" i="31"/>
  <c r="AN10" i="31"/>
  <c r="AN9" i="31"/>
  <c r="AN8" i="31"/>
  <c r="AN7" i="31"/>
  <c r="AN6" i="31"/>
  <c r="AN5" i="31"/>
  <c r="AN23" i="20"/>
  <c r="AN49" i="20"/>
  <c r="AN28" i="20"/>
  <c r="AN32" i="20"/>
  <c r="AN60" i="20"/>
  <c r="AN63" i="20"/>
  <c r="AN56" i="20"/>
  <c r="AN58" i="20"/>
  <c r="AN7" i="20"/>
  <c r="AN5" i="20"/>
  <c r="AN59" i="20"/>
  <c r="AN57" i="20"/>
  <c r="AN55" i="20"/>
  <c r="AN54" i="20"/>
  <c r="AN53" i="20"/>
  <c r="AN52" i="20"/>
  <c r="AN51" i="20"/>
  <c r="AN50" i="20"/>
  <c r="AN48" i="20"/>
  <c r="AN47" i="20"/>
  <c r="AN46" i="20"/>
  <c r="AN45" i="20"/>
  <c r="AN44" i="20"/>
  <c r="AN43" i="20"/>
  <c r="AN42" i="20"/>
  <c r="AN41" i="20"/>
  <c r="AN40" i="20"/>
  <c r="AN39" i="20"/>
  <c r="AN38" i="20"/>
  <c r="AN37" i="20"/>
  <c r="AN36" i="20"/>
  <c r="AN35" i="20"/>
  <c r="AN34" i="20"/>
  <c r="AN33" i="20"/>
  <c r="AN31" i="20"/>
  <c r="AN30" i="20"/>
  <c r="AN29" i="20"/>
  <c r="AN27" i="20"/>
  <c r="AN26" i="20"/>
  <c r="AN25" i="20"/>
  <c r="AN24" i="20"/>
  <c r="AH21" i="20"/>
  <c r="AN21" i="20"/>
  <c r="AN20" i="20"/>
  <c r="AN19" i="20"/>
  <c r="AN18" i="20"/>
  <c r="AN17" i="20"/>
  <c r="AN16" i="20"/>
  <c r="AN15" i="20"/>
  <c r="AN14" i="20"/>
  <c r="AN13" i="20"/>
  <c r="AN12" i="20"/>
  <c r="AN11" i="20"/>
  <c r="AN10" i="20"/>
  <c r="AN9" i="20"/>
  <c r="AN8" i="20"/>
  <c r="AN6" i="20"/>
  <c r="AN64" i="19"/>
  <c r="AN63" i="19"/>
  <c r="AN60" i="19"/>
  <c r="AN59" i="19"/>
  <c r="AN58" i="19"/>
  <c r="AN57" i="19"/>
  <c r="AN56" i="19"/>
  <c r="AN55" i="19"/>
  <c r="AN54" i="19"/>
  <c r="AN53" i="19"/>
  <c r="AN52" i="19"/>
  <c r="AN51" i="19"/>
  <c r="AN50" i="19"/>
  <c r="AN49" i="19"/>
  <c r="AN48" i="19"/>
  <c r="AN47" i="19"/>
  <c r="AN46" i="19"/>
  <c r="AN45" i="19"/>
  <c r="AN44" i="19"/>
  <c r="AN43" i="19"/>
  <c r="AN42" i="19"/>
  <c r="AN41" i="19"/>
  <c r="AN40" i="19"/>
  <c r="AN39" i="19"/>
  <c r="AN38" i="19"/>
  <c r="AN37" i="19"/>
  <c r="AN36" i="19"/>
  <c r="AN35" i="19"/>
  <c r="AN34" i="19"/>
  <c r="AN33" i="19"/>
  <c r="AN30" i="19"/>
  <c r="AN32" i="19"/>
  <c r="AN31" i="19"/>
  <c r="AN29" i="19"/>
  <c r="AN28" i="19"/>
  <c r="AN27" i="19"/>
  <c r="AN26" i="19"/>
  <c r="AN25" i="19"/>
  <c r="AN24" i="19"/>
  <c r="AN23" i="19"/>
  <c r="AN21" i="19"/>
  <c r="AN20" i="19"/>
  <c r="AN19" i="19"/>
  <c r="AN18" i="19"/>
  <c r="AN17" i="19"/>
  <c r="AN16" i="19"/>
  <c r="AN15" i="19"/>
  <c r="AN14" i="19"/>
  <c r="AN13" i="19"/>
  <c r="AN12" i="19"/>
  <c r="AN11" i="19"/>
  <c r="AN10" i="19"/>
  <c r="AN9" i="19"/>
  <c r="AN8" i="19"/>
  <c r="AN7" i="19"/>
  <c r="AN6" i="19"/>
  <c r="AN5" i="19"/>
  <c r="AN64" i="18"/>
  <c r="AN63" i="18"/>
  <c r="AN60" i="18"/>
  <c r="AN59" i="18"/>
  <c r="AN58" i="18"/>
  <c r="AN57" i="18"/>
  <c r="AN56" i="18"/>
  <c r="AN55" i="18"/>
  <c r="AN54" i="18"/>
  <c r="AN53" i="18"/>
  <c r="AN52" i="18"/>
  <c r="AN51" i="18"/>
  <c r="AN50" i="18"/>
  <c r="AN49" i="18"/>
  <c r="AN48" i="18"/>
  <c r="AN47" i="18"/>
  <c r="AN46" i="18"/>
  <c r="AN45" i="18"/>
  <c r="AN44" i="18"/>
  <c r="AN43" i="18"/>
  <c r="AN42" i="18"/>
  <c r="AN41" i="18"/>
  <c r="AN40" i="18"/>
  <c r="AN39" i="18"/>
  <c r="AN38" i="18"/>
  <c r="AN37" i="18"/>
  <c r="AN36" i="18"/>
  <c r="AN35" i="18"/>
  <c r="AN34" i="18"/>
  <c r="AN33" i="18"/>
  <c r="AN21" i="18"/>
  <c r="AN20" i="18"/>
  <c r="AN19" i="18"/>
  <c r="AN18" i="18"/>
  <c r="AN17" i="18"/>
  <c r="AN16" i="18"/>
  <c r="AN15" i="18"/>
  <c r="AN14" i="18"/>
  <c r="AN13" i="18"/>
  <c r="AN12" i="18"/>
  <c r="AN11" i="18"/>
  <c r="AN10" i="18"/>
  <c r="AN9" i="18"/>
  <c r="AN8" i="18"/>
  <c r="AN7" i="18"/>
  <c r="AN6" i="18"/>
  <c r="AN5" i="18"/>
  <c r="AN23" i="18"/>
  <c r="AN60" i="12"/>
  <c r="AN64" i="12"/>
  <c r="AN63" i="12"/>
  <c r="AN59" i="12"/>
  <c r="AN58" i="12"/>
  <c r="AN57" i="12"/>
  <c r="AN56" i="12"/>
  <c r="AN55" i="12"/>
  <c r="AN54" i="12"/>
  <c r="AN53" i="12"/>
  <c r="AN52" i="12"/>
  <c r="AN51" i="12"/>
  <c r="AN50" i="12"/>
  <c r="AN49" i="12"/>
  <c r="AN48" i="12"/>
  <c r="AN47" i="12"/>
  <c r="AN46" i="12"/>
  <c r="AN45" i="12"/>
  <c r="AN44" i="12"/>
  <c r="AN43" i="12"/>
  <c r="AN42" i="12"/>
  <c r="AN41" i="12"/>
  <c r="AN40" i="12"/>
  <c r="AN39" i="12"/>
  <c r="AN38" i="12"/>
  <c r="AN37" i="12"/>
  <c r="AN36" i="12"/>
  <c r="AN35" i="12"/>
  <c r="AN34" i="12"/>
  <c r="AN33" i="12"/>
  <c r="AN21" i="12"/>
  <c r="AN20" i="12"/>
  <c r="AN19" i="12"/>
  <c r="AN18" i="12"/>
  <c r="AN17" i="12"/>
  <c r="AN16" i="12"/>
  <c r="AN15" i="12"/>
  <c r="AN14" i="12"/>
  <c r="AN13" i="12"/>
  <c r="AN12" i="12"/>
  <c r="AN11" i="12"/>
  <c r="AN10" i="12"/>
  <c r="AN9" i="12"/>
  <c r="AN8" i="12"/>
  <c r="AN7" i="12"/>
  <c r="AN6" i="12"/>
  <c r="AN5" i="12"/>
  <c r="AN23" i="12"/>
  <c r="AH61" i="18"/>
  <c r="AN62" i="18"/>
  <c r="AN32" i="18"/>
  <c r="AN31" i="18"/>
  <c r="AN30" i="18"/>
  <c r="AN29" i="18"/>
  <c r="AN28" i="18"/>
  <c r="AN27" i="18"/>
  <c r="AN26" i="18"/>
  <c r="AN25" i="18"/>
  <c r="AN24" i="18"/>
  <c r="P23" i="23"/>
  <c r="AN32" i="12"/>
  <c r="AN31" i="12"/>
  <c r="AN30" i="12"/>
  <c r="AN29" i="12"/>
  <c r="AN28" i="12"/>
  <c r="AN27" i="12"/>
  <c r="AN26" i="12"/>
  <c r="AN25" i="12"/>
  <c r="AN24" i="12"/>
  <c r="AH16" i="31"/>
  <c r="AH18" i="31"/>
  <c r="AH18" i="20"/>
  <c r="AH33" i="20"/>
  <c r="AN61" i="18" l="1"/>
  <c r="AH16" i="19"/>
  <c r="AH18" i="19"/>
  <c r="AH33" i="19"/>
  <c r="AH18" i="18"/>
  <c r="AH18" i="12" l="1"/>
  <c r="AF57" i="23" l="1"/>
  <c r="AF16" i="31" l="1"/>
  <c r="AF33" i="20" l="1"/>
  <c r="AF18" i="19" l="1"/>
  <c r="AF16" i="19"/>
  <c r="AF33" i="19"/>
  <c r="AF16" i="18"/>
  <c r="AF19" i="18"/>
  <c r="AF18" i="18"/>
  <c r="AF17" i="12"/>
  <c r="AF18" i="12"/>
  <c r="AD16" i="31" l="1"/>
  <c r="AD18" i="20"/>
  <c r="AD33" i="20"/>
  <c r="AD33" i="19" l="1"/>
  <c r="AD19" i="19"/>
  <c r="AD16" i="19"/>
  <c r="AD18" i="19"/>
  <c r="AD16" i="12" l="1"/>
  <c r="V57" i="23" l="1"/>
  <c r="Z57" i="23"/>
  <c r="Z16" i="31"/>
  <c r="Z18" i="19" l="1"/>
  <c r="Z16" i="19"/>
  <c r="Z33" i="19"/>
  <c r="Z18" i="18"/>
  <c r="Z18" i="12"/>
  <c r="X16" i="31" l="1"/>
  <c r="X33" i="20"/>
  <c r="X43" i="20"/>
  <c r="X19" i="19"/>
  <c r="X18" i="19"/>
  <c r="X16" i="19"/>
  <c r="X33" i="19"/>
  <c r="X18" i="18"/>
  <c r="X16" i="12"/>
  <c r="X18" i="12"/>
  <c r="V16" i="31" l="1"/>
  <c r="V16" i="20"/>
  <c r="V16" i="19"/>
  <c r="V33" i="20" l="1"/>
  <c r="V18" i="19"/>
  <c r="V33" i="19"/>
  <c r="V18" i="18"/>
  <c r="V16" i="18"/>
  <c r="V18" i="12"/>
  <c r="P57" i="23" l="1"/>
  <c r="P16" i="31"/>
  <c r="P33" i="20"/>
  <c r="P18" i="19"/>
  <c r="P16" i="19"/>
  <c r="P33" i="19"/>
  <c r="P18" i="18"/>
  <c r="P16" i="18"/>
  <c r="P16" i="12"/>
  <c r="P18" i="12"/>
  <c r="N57" i="23" l="1"/>
  <c r="N16" i="31"/>
  <c r="N16" i="20"/>
  <c r="N18" i="19"/>
  <c r="N16" i="19"/>
  <c r="N33" i="19"/>
  <c r="L44" i="21" l="1"/>
  <c r="N49" i="21"/>
  <c r="L16" i="31" l="1"/>
  <c r="L33" i="20"/>
  <c r="L17" i="19"/>
  <c r="L33" i="19"/>
  <c r="L16" i="19"/>
  <c r="H58" i="12" l="1"/>
  <c r="H16" i="31" l="1"/>
  <c r="H16" i="20" l="1"/>
  <c r="H33" i="20"/>
  <c r="H18" i="20"/>
  <c r="H18" i="19"/>
  <c r="H17" i="19"/>
  <c r="H16" i="19"/>
  <c r="H33" i="19"/>
  <c r="H18" i="18" l="1"/>
  <c r="F16" i="31" l="1"/>
  <c r="F33" i="20"/>
  <c r="F19" i="20"/>
  <c r="F18" i="20"/>
  <c r="F16" i="20"/>
  <c r="F18" i="19"/>
  <c r="F16" i="19"/>
  <c r="F33" i="19"/>
  <c r="F18" i="18"/>
  <c r="D16" i="31" l="1"/>
  <c r="D33" i="20"/>
  <c r="D33" i="19"/>
  <c r="D18" i="19"/>
  <c r="D16" i="19"/>
  <c r="D18" i="18"/>
  <c r="AG57" i="23" l="1"/>
  <c r="AE57" i="23"/>
  <c r="AC57" i="23"/>
  <c r="Y57" i="23"/>
  <c r="W57" i="23"/>
  <c r="U57" i="23"/>
  <c r="O57" i="23"/>
  <c r="AM57" i="23" s="1"/>
  <c r="M57" i="23"/>
  <c r="K57" i="23"/>
  <c r="G57" i="23"/>
  <c r="E57" i="23"/>
  <c r="C57" i="23"/>
  <c r="AM56" i="23"/>
  <c r="AM55" i="23"/>
  <c r="AM54" i="23"/>
  <c r="AM53" i="23"/>
  <c r="AM52" i="23"/>
  <c r="AM51" i="23"/>
  <c r="AM50" i="23"/>
  <c r="AM49" i="23"/>
  <c r="AM48" i="23"/>
  <c r="AM47" i="23"/>
  <c r="AM46" i="23"/>
  <c r="AM45" i="23"/>
  <c r="AM44" i="23"/>
  <c r="AM43" i="23"/>
  <c r="AM42" i="23"/>
  <c r="AM41" i="23"/>
  <c r="AM40" i="23"/>
  <c r="AM39" i="23"/>
  <c r="AM38" i="23"/>
  <c r="AM37" i="23"/>
  <c r="AM36" i="23"/>
  <c r="AM35" i="23"/>
  <c r="AM34" i="23"/>
  <c r="AM33" i="23"/>
  <c r="AM31" i="23"/>
  <c r="AM30" i="23"/>
  <c r="AM29" i="23"/>
  <c r="AM28" i="23"/>
  <c r="AM27" i="23"/>
  <c r="AM26" i="23"/>
  <c r="AM25" i="23"/>
  <c r="AM24" i="23"/>
  <c r="AM23" i="23"/>
  <c r="AM19" i="23"/>
  <c r="AM18" i="23"/>
  <c r="AM17" i="23"/>
  <c r="AM16" i="23"/>
  <c r="AM15" i="23"/>
  <c r="AM14" i="23"/>
  <c r="AM13" i="23"/>
  <c r="AM12" i="23"/>
  <c r="AM11" i="23"/>
  <c r="AM10" i="23"/>
  <c r="AM9" i="23"/>
  <c r="AM8" i="23"/>
  <c r="AM7" i="23"/>
  <c r="AM6" i="23"/>
  <c r="AM5" i="23"/>
  <c r="AM49" i="21"/>
  <c r="AM57" i="18"/>
  <c r="AM56" i="18"/>
  <c r="AM55" i="18"/>
  <c r="AM54" i="18"/>
  <c r="AM53" i="18"/>
  <c r="AM52" i="18"/>
  <c r="AM51" i="18"/>
  <c r="AM50" i="18"/>
  <c r="AM49" i="18"/>
  <c r="AM48" i="18"/>
  <c r="AM47" i="18"/>
  <c r="AM46" i="18"/>
  <c r="AM45" i="18"/>
  <c r="AM44" i="18"/>
  <c r="AM43" i="18"/>
  <c r="AM42" i="18"/>
  <c r="AM41" i="18"/>
  <c r="AM40" i="18"/>
  <c r="AM39" i="18"/>
  <c r="AM38" i="18"/>
  <c r="AM37" i="18"/>
  <c r="AM36" i="18"/>
  <c r="AM35" i="18"/>
  <c r="AM34" i="18"/>
  <c r="AM33" i="18"/>
  <c r="AM31" i="18"/>
  <c r="AM30" i="18"/>
  <c r="AM29" i="18"/>
  <c r="AM28" i="18"/>
  <c r="AM27" i="18"/>
  <c r="AM26" i="18"/>
  <c r="AM25" i="18"/>
  <c r="AM24" i="18"/>
  <c r="AM23" i="18"/>
  <c r="AM55" i="12"/>
  <c r="AM57" i="12"/>
  <c r="AM56" i="12"/>
  <c r="AM54" i="12"/>
  <c r="AM53" i="12"/>
  <c r="AM52" i="12"/>
  <c r="AM51" i="12"/>
  <c r="AM50" i="12"/>
  <c r="AM49" i="12"/>
  <c r="AM48" i="12"/>
  <c r="AM47" i="12"/>
  <c r="AM46" i="12"/>
  <c r="AM45" i="12"/>
  <c r="AM44" i="12"/>
  <c r="AM43" i="12"/>
  <c r="AM42" i="12"/>
  <c r="AM41" i="12"/>
  <c r="AM40" i="12"/>
  <c r="AM39" i="12"/>
  <c r="AM38" i="12"/>
  <c r="AM37" i="12"/>
  <c r="AM36" i="12"/>
  <c r="AM35" i="12"/>
  <c r="AM34" i="12"/>
  <c r="AM33" i="12"/>
  <c r="AM31" i="12"/>
  <c r="AM30" i="12"/>
  <c r="AM29" i="12"/>
  <c r="AM28" i="12"/>
  <c r="AM27" i="12"/>
  <c r="AM26" i="12"/>
  <c r="AM25" i="12"/>
  <c r="AM24" i="12"/>
  <c r="AM23" i="12"/>
  <c r="AM21" i="12"/>
  <c r="AM20" i="12"/>
  <c r="AM19" i="12"/>
  <c r="AM18" i="12"/>
  <c r="AM17" i="12"/>
  <c r="AM16" i="12"/>
  <c r="AM15" i="12"/>
  <c r="AM14" i="12"/>
  <c r="AM13" i="12"/>
  <c r="AM12" i="12"/>
  <c r="AM11" i="12"/>
  <c r="AM10" i="12"/>
  <c r="AM9" i="12"/>
  <c r="AM8" i="12"/>
  <c r="AM7" i="12"/>
  <c r="AM6" i="12"/>
  <c r="AM5" i="12"/>
  <c r="AN57" i="21"/>
  <c r="AN56" i="21"/>
  <c r="AN55" i="21"/>
  <c r="AN54" i="21"/>
  <c r="AN53" i="21"/>
  <c r="AN52" i="21"/>
  <c r="AN51" i="21"/>
  <c r="AN50" i="21"/>
  <c r="AN49" i="21"/>
  <c r="AN48" i="21"/>
  <c r="AN47" i="21"/>
  <c r="AN46" i="21"/>
  <c r="AN45" i="21"/>
  <c r="AN44" i="21"/>
  <c r="AN43" i="21"/>
  <c r="AN42" i="21"/>
  <c r="AN41" i="21"/>
  <c r="AN40" i="21"/>
  <c r="AN39" i="21"/>
  <c r="AN38" i="21"/>
  <c r="AN37" i="21"/>
  <c r="AN36" i="21"/>
  <c r="AN35" i="21"/>
  <c r="AN34" i="21"/>
  <c r="AN33" i="21"/>
  <c r="AM57" i="21"/>
  <c r="AM56" i="21"/>
  <c r="AM55" i="21"/>
  <c r="AM54" i="21"/>
  <c r="AM53" i="21"/>
  <c r="AM52" i="21"/>
  <c r="AM51" i="21"/>
  <c r="AM50" i="21"/>
  <c r="AM48" i="21"/>
  <c r="AM47" i="21"/>
  <c r="AM46" i="21"/>
  <c r="AM45" i="21"/>
  <c r="AM44" i="21"/>
  <c r="AM43" i="21"/>
  <c r="AM42" i="21"/>
  <c r="AM41" i="21"/>
  <c r="AM40" i="21"/>
  <c r="AM39" i="21"/>
  <c r="AM38" i="21"/>
  <c r="AM37" i="21"/>
  <c r="AM36" i="21"/>
  <c r="AM35" i="21"/>
  <c r="AM34" i="21"/>
  <c r="AM33" i="21"/>
  <c r="AN31" i="21"/>
  <c r="AN30" i="21"/>
  <c r="AN29" i="21"/>
  <c r="AN28" i="21"/>
  <c r="AN27" i="21"/>
  <c r="AN26" i="21"/>
  <c r="AN25" i="21"/>
  <c r="AN24" i="21"/>
  <c r="AN23" i="21"/>
  <c r="AM31" i="21"/>
  <c r="AM30" i="21"/>
  <c r="AM29" i="21"/>
  <c r="AM28" i="21"/>
  <c r="AM27" i="21"/>
  <c r="AM26" i="21"/>
  <c r="AM25" i="21"/>
  <c r="AM24" i="21"/>
  <c r="AM23" i="21"/>
  <c r="AN20" i="21"/>
  <c r="AM8" i="21"/>
  <c r="AM19" i="21"/>
  <c r="AM18" i="21"/>
  <c r="AM17" i="21"/>
  <c r="AM16" i="21"/>
  <c r="AM15" i="21"/>
  <c r="AM14" i="21"/>
  <c r="AM13" i="21"/>
  <c r="AM12" i="21"/>
  <c r="AM11" i="21"/>
  <c r="AM10" i="21"/>
  <c r="AM9" i="21"/>
  <c r="AM7" i="21"/>
  <c r="AM6" i="21"/>
  <c r="AN19" i="21"/>
  <c r="AN18" i="21"/>
  <c r="AN17" i="21"/>
  <c r="AN16" i="21"/>
  <c r="AN15" i="21"/>
  <c r="AN14" i="21"/>
  <c r="AN13" i="21"/>
  <c r="AN12" i="21"/>
  <c r="AN11" i="21"/>
  <c r="AN10" i="21"/>
  <c r="AN9" i="21"/>
  <c r="AN8" i="21"/>
  <c r="AN7" i="21"/>
  <c r="AN6" i="21"/>
  <c r="AM5" i="21"/>
  <c r="AM63" i="21" s="1"/>
  <c r="AN5" i="21"/>
  <c r="AN63" i="21" s="1"/>
  <c r="AH14" i="21"/>
  <c r="AH13" i="21"/>
  <c r="AH12" i="21"/>
  <c r="AH11" i="21"/>
  <c r="AH10" i="21"/>
  <c r="AH9" i="21"/>
  <c r="AH8" i="21"/>
  <c r="AH7" i="21"/>
  <c r="AH6" i="21"/>
  <c r="AH5" i="21"/>
  <c r="AH61" i="21" s="1"/>
  <c r="AF14" i="21"/>
  <c r="AF13" i="21"/>
  <c r="AF12" i="21"/>
  <c r="AF11" i="21"/>
  <c r="AF10" i="21"/>
  <c r="AF9" i="21"/>
  <c r="AF8" i="21"/>
  <c r="AF7" i="21"/>
  <c r="AF6" i="21"/>
  <c r="AF5" i="21"/>
  <c r="AD14" i="21"/>
  <c r="AD13" i="21"/>
  <c r="AJ13" i="21" s="1"/>
  <c r="AD12" i="21"/>
  <c r="AD11" i="21"/>
  <c r="AD10" i="21"/>
  <c r="AD9" i="21"/>
  <c r="AD8" i="21"/>
  <c r="AD7" i="21"/>
  <c r="AD6" i="21"/>
  <c r="AD5" i="21"/>
  <c r="AD63" i="21" s="1"/>
  <c r="Z14" i="21"/>
  <c r="Z13" i="21"/>
  <c r="Z12" i="21"/>
  <c r="Z11" i="21"/>
  <c r="Z10" i="21"/>
  <c r="AB10" i="21" s="1"/>
  <c r="Z9" i="21"/>
  <c r="Z8" i="21"/>
  <c r="AB8" i="21" s="1"/>
  <c r="Z7" i="21"/>
  <c r="Z6" i="21"/>
  <c r="X14" i="21"/>
  <c r="X13" i="21"/>
  <c r="X12" i="21"/>
  <c r="X11" i="21"/>
  <c r="X10" i="21"/>
  <c r="X9" i="21"/>
  <c r="X8" i="21"/>
  <c r="X7" i="21"/>
  <c r="X6" i="21"/>
  <c r="X5" i="21"/>
  <c r="V14" i="21"/>
  <c r="V13" i="21"/>
  <c r="AB13" i="21" s="1"/>
  <c r="V12" i="21"/>
  <c r="V11" i="21"/>
  <c r="V65" i="21" s="1"/>
  <c r="V10" i="21"/>
  <c r="V9" i="21"/>
  <c r="V8" i="21"/>
  <c r="V7" i="21"/>
  <c r="V6" i="21"/>
  <c r="V5" i="21"/>
  <c r="V61" i="21" s="1"/>
  <c r="P14" i="21"/>
  <c r="R14" i="21" s="1"/>
  <c r="P13" i="21"/>
  <c r="P12" i="21"/>
  <c r="P11" i="21"/>
  <c r="P65" i="21" s="1"/>
  <c r="P10" i="21"/>
  <c r="P9" i="21"/>
  <c r="P8" i="21"/>
  <c r="P7" i="21"/>
  <c r="P6" i="21"/>
  <c r="P5" i="21"/>
  <c r="N14" i="21"/>
  <c r="N13" i="21"/>
  <c r="N12" i="21"/>
  <c r="N11" i="21"/>
  <c r="N65" i="21" s="1"/>
  <c r="N10" i="21"/>
  <c r="N9" i="21"/>
  <c r="N8" i="21"/>
  <c r="N7" i="21"/>
  <c r="N6" i="21"/>
  <c r="N5" i="21"/>
  <c r="L14" i="21"/>
  <c r="L13" i="21"/>
  <c r="L12" i="21"/>
  <c r="L11" i="21"/>
  <c r="L10" i="21"/>
  <c r="L9" i="21"/>
  <c r="L8" i="21"/>
  <c r="L7" i="21"/>
  <c r="L6" i="21"/>
  <c r="L5" i="21"/>
  <c r="H14" i="21"/>
  <c r="H13" i="21"/>
  <c r="H12" i="21"/>
  <c r="J12" i="21" s="1"/>
  <c r="H11" i="21"/>
  <c r="H65" i="21" s="1"/>
  <c r="H10" i="21"/>
  <c r="H9" i="21"/>
  <c r="H8" i="21"/>
  <c r="H7" i="21"/>
  <c r="H6" i="21"/>
  <c r="H5" i="21"/>
  <c r="F14" i="21"/>
  <c r="F13" i="21"/>
  <c r="F12" i="21"/>
  <c r="F11" i="21"/>
  <c r="F10" i="21"/>
  <c r="F9" i="21"/>
  <c r="F8" i="21"/>
  <c r="F7" i="21"/>
  <c r="F6" i="21"/>
  <c r="F5" i="21"/>
  <c r="J5" i="21" s="1"/>
  <c r="D14" i="21"/>
  <c r="D13" i="21"/>
  <c r="D12" i="21"/>
  <c r="D11" i="21"/>
  <c r="D65" i="21" s="1"/>
  <c r="D10" i="21"/>
  <c r="D9" i="21"/>
  <c r="D8" i="21"/>
  <c r="D7" i="21"/>
  <c r="D6" i="21"/>
  <c r="D5" i="21"/>
  <c r="N143" i="33"/>
  <c r="M143" i="33"/>
  <c r="L143" i="33"/>
  <c r="K143" i="33"/>
  <c r="J143" i="33"/>
  <c r="I143" i="33"/>
  <c r="H143" i="33"/>
  <c r="N142" i="33"/>
  <c r="M142" i="33"/>
  <c r="L142" i="33"/>
  <c r="K142" i="33"/>
  <c r="J142" i="33"/>
  <c r="I142" i="33"/>
  <c r="H142" i="33"/>
  <c r="O141" i="33"/>
  <c r="O139" i="33"/>
  <c r="O138" i="33"/>
  <c r="O137" i="33"/>
  <c r="O136" i="33"/>
  <c r="O135" i="33"/>
  <c r="O134" i="33"/>
  <c r="O133" i="33"/>
  <c r="O132" i="33"/>
  <c r="O131" i="33"/>
  <c r="O130" i="33"/>
  <c r="O143" i="33" s="1"/>
  <c r="O129" i="33"/>
  <c r="N129" i="33"/>
  <c r="M129" i="33"/>
  <c r="L129" i="33"/>
  <c r="K129" i="33"/>
  <c r="J129" i="33"/>
  <c r="I129" i="33"/>
  <c r="H129" i="33"/>
  <c r="N128" i="33"/>
  <c r="M128" i="33"/>
  <c r="L128" i="33"/>
  <c r="K128" i="33"/>
  <c r="J128" i="33"/>
  <c r="I128" i="33"/>
  <c r="H128" i="33"/>
  <c r="O127" i="33"/>
  <c r="O125" i="33"/>
  <c r="O124" i="33"/>
  <c r="O123" i="33"/>
  <c r="O122" i="33"/>
  <c r="O121" i="33"/>
  <c r="O120" i="33"/>
  <c r="O119" i="33"/>
  <c r="O118" i="33"/>
  <c r="O128" i="33" s="1"/>
  <c r="O117" i="33"/>
  <c r="O116" i="33"/>
  <c r="I65" i="21"/>
  <c r="G65" i="21"/>
  <c r="E65" i="21"/>
  <c r="C65" i="21"/>
  <c r="AG63" i="21"/>
  <c r="AE63" i="21"/>
  <c r="AC63" i="21"/>
  <c r="Y63" i="21"/>
  <c r="W63" i="21"/>
  <c r="U63" i="21"/>
  <c r="O63" i="21"/>
  <c r="M63" i="21"/>
  <c r="K63" i="21"/>
  <c r="I63" i="21"/>
  <c r="G63" i="21"/>
  <c r="E63" i="21"/>
  <c r="C63" i="21"/>
  <c r="I61" i="21"/>
  <c r="G61" i="21"/>
  <c r="E61" i="21"/>
  <c r="C61" i="21"/>
  <c r="AH58" i="21"/>
  <c r="AG58" i="21"/>
  <c r="AF58" i="21"/>
  <c r="AE58" i="21"/>
  <c r="AD58" i="21"/>
  <c r="AC58" i="21"/>
  <c r="Z58" i="21"/>
  <c r="Y58" i="21"/>
  <c r="X58" i="21"/>
  <c r="W58" i="21"/>
  <c r="V58" i="21"/>
  <c r="U58" i="21"/>
  <c r="P58" i="21"/>
  <c r="O58" i="21"/>
  <c r="N58" i="21"/>
  <c r="M58" i="21"/>
  <c r="L58" i="21"/>
  <c r="K58" i="21"/>
  <c r="H58" i="21"/>
  <c r="G58" i="21"/>
  <c r="F58" i="21"/>
  <c r="E58" i="21"/>
  <c r="D58" i="21"/>
  <c r="C58" i="21"/>
  <c r="AJ57" i="21"/>
  <c r="AI57" i="21"/>
  <c r="AB57" i="21"/>
  <c r="AL57" i="21" s="1"/>
  <c r="AA57" i="21"/>
  <c r="AK57" i="21" s="1"/>
  <c r="R57" i="21"/>
  <c r="Q57" i="21"/>
  <c r="J57" i="21"/>
  <c r="I57" i="21"/>
  <c r="AL55" i="21"/>
  <c r="AK55" i="21"/>
  <c r="AJ55" i="21"/>
  <c r="AI55" i="21"/>
  <c r="AB55" i="21"/>
  <c r="AA55" i="21"/>
  <c r="T55" i="21"/>
  <c r="S55" i="21"/>
  <c r="R55" i="21"/>
  <c r="Q55" i="21"/>
  <c r="J55" i="21"/>
  <c r="I55" i="21"/>
  <c r="AJ54" i="21"/>
  <c r="AI54" i="21"/>
  <c r="AB54" i="21"/>
  <c r="AB58" i="21" s="1"/>
  <c r="AA54" i="21"/>
  <c r="R54" i="21"/>
  <c r="Q54" i="21"/>
  <c r="J54" i="21"/>
  <c r="T54" i="21" s="1"/>
  <c r="I54" i="21"/>
  <c r="AJ53" i="21"/>
  <c r="AL53" i="21" s="1"/>
  <c r="AI53" i="21"/>
  <c r="AB53" i="21"/>
  <c r="AA53" i="21"/>
  <c r="R53" i="21"/>
  <c r="Q53" i="21"/>
  <c r="J53" i="21"/>
  <c r="T53" i="21" s="1"/>
  <c r="I53" i="21"/>
  <c r="S53" i="21" s="1"/>
  <c r="AL52" i="21"/>
  <c r="AK52" i="21"/>
  <c r="AJ52" i="21"/>
  <c r="AI52" i="21"/>
  <c r="AB52" i="21"/>
  <c r="AA52" i="21"/>
  <c r="T52" i="21"/>
  <c r="S52" i="21"/>
  <c r="R52" i="21"/>
  <c r="Q52" i="21"/>
  <c r="J52" i="21"/>
  <c r="I52" i="21"/>
  <c r="AK51" i="21"/>
  <c r="AJ51" i="21"/>
  <c r="AL51" i="21" s="1"/>
  <c r="AI51" i="21"/>
  <c r="T51" i="21"/>
  <c r="S51" i="21"/>
  <c r="R51" i="21"/>
  <c r="Q51" i="21"/>
  <c r="AL50" i="21"/>
  <c r="AJ50" i="21"/>
  <c r="AI50" i="21"/>
  <c r="AK50" i="21" s="1"/>
  <c r="AL49" i="21"/>
  <c r="AJ49" i="21"/>
  <c r="AI49" i="21"/>
  <c r="AK49" i="21" s="1"/>
  <c r="AL48" i="21"/>
  <c r="AJ48" i="21"/>
  <c r="AI48" i="21"/>
  <c r="AK48" i="21" s="1"/>
  <c r="AL47" i="21"/>
  <c r="AJ47" i="21"/>
  <c r="AI47" i="21"/>
  <c r="AK47" i="21" s="1"/>
  <c r="AL46" i="21"/>
  <c r="AJ46" i="21"/>
  <c r="AI46" i="21"/>
  <c r="AK46" i="21" s="1"/>
  <c r="AL45" i="21"/>
  <c r="AJ45" i="21"/>
  <c r="AI45" i="21"/>
  <c r="AK45" i="21" s="1"/>
  <c r="AL44" i="21"/>
  <c r="AJ44" i="21"/>
  <c r="AI44" i="21"/>
  <c r="AK44" i="21" s="1"/>
  <c r="AL43" i="21"/>
  <c r="AJ43" i="21"/>
  <c r="AI43" i="21"/>
  <c r="AK43" i="21" s="1"/>
  <c r="AL42" i="21"/>
  <c r="AJ42" i="21"/>
  <c r="AI42" i="21"/>
  <c r="AK42" i="21" s="1"/>
  <c r="AL41" i="21"/>
  <c r="AK41" i="21"/>
  <c r="AJ41" i="21"/>
  <c r="AI41" i="21"/>
  <c r="AL40" i="21"/>
  <c r="AJ40" i="21"/>
  <c r="AI40" i="21"/>
  <c r="AK40" i="21" s="1"/>
  <c r="AL39" i="21"/>
  <c r="AJ39" i="21"/>
  <c r="AI39" i="21"/>
  <c r="AK39" i="21" s="1"/>
  <c r="AL38" i="21"/>
  <c r="AJ38" i="21"/>
  <c r="AI38" i="21"/>
  <c r="AK38" i="21" s="1"/>
  <c r="AL37" i="21"/>
  <c r="AJ37" i="21"/>
  <c r="AI37" i="21"/>
  <c r="AK37" i="21" s="1"/>
  <c r="AL36" i="21"/>
  <c r="AJ36" i="21"/>
  <c r="AI36" i="21"/>
  <c r="AK36" i="21" s="1"/>
  <c r="AL35" i="21"/>
  <c r="AJ35" i="21"/>
  <c r="AI35" i="21"/>
  <c r="AK35" i="21" s="1"/>
  <c r="AL34" i="21"/>
  <c r="AJ34" i="21"/>
  <c r="AI34" i="21"/>
  <c r="AK34" i="21" s="1"/>
  <c r="AL33" i="21"/>
  <c r="AK33" i="21"/>
  <c r="AJ33" i="21"/>
  <c r="AJ58" i="21" s="1"/>
  <c r="AI33" i="21"/>
  <c r="AH32" i="21"/>
  <c r="AH59" i="21" s="1"/>
  <c r="AG32" i="21"/>
  <c r="AG59" i="21" s="1"/>
  <c r="AF32" i="21"/>
  <c r="AF59" i="21" s="1"/>
  <c r="AE32" i="21"/>
  <c r="AE59" i="21" s="1"/>
  <c r="AD32" i="21"/>
  <c r="AD59" i="21" s="1"/>
  <c r="AC32" i="21"/>
  <c r="AC59" i="21" s="1"/>
  <c r="AB32" i="21"/>
  <c r="AA32" i="21"/>
  <c r="Z32" i="21"/>
  <c r="Y32" i="21"/>
  <c r="X32" i="21"/>
  <c r="W32" i="21"/>
  <c r="V32" i="21"/>
  <c r="U32" i="21"/>
  <c r="U59" i="21" s="1"/>
  <c r="P32" i="21"/>
  <c r="O32" i="21"/>
  <c r="N32" i="21"/>
  <c r="M32" i="21"/>
  <c r="M59" i="21" s="1"/>
  <c r="L32" i="21"/>
  <c r="K32" i="21"/>
  <c r="K59" i="21" s="1"/>
  <c r="J32" i="21"/>
  <c r="I32" i="21"/>
  <c r="H32" i="21"/>
  <c r="G32" i="21"/>
  <c r="G59" i="21" s="1"/>
  <c r="F32" i="21"/>
  <c r="E32" i="21"/>
  <c r="E59" i="21" s="1"/>
  <c r="D32" i="21"/>
  <c r="D59" i="21" s="1"/>
  <c r="C32" i="21"/>
  <c r="C59" i="21" s="1"/>
  <c r="AL31" i="21"/>
  <c r="AJ31" i="21"/>
  <c r="AI31" i="21"/>
  <c r="AK31" i="21" s="1"/>
  <c r="R31" i="21"/>
  <c r="T31" i="21" s="1"/>
  <c r="Q31" i="21"/>
  <c r="S31" i="21" s="1"/>
  <c r="AL30" i="21"/>
  <c r="AJ30" i="21"/>
  <c r="AI30" i="21"/>
  <c r="AK30" i="21" s="1"/>
  <c r="R30" i="21"/>
  <c r="T30" i="21" s="1"/>
  <c r="Q30" i="21"/>
  <c r="S30" i="21" s="1"/>
  <c r="AJ29" i="21"/>
  <c r="AL29" i="21" s="1"/>
  <c r="AI29" i="21"/>
  <c r="AK29" i="21" s="1"/>
  <c r="R29" i="21"/>
  <c r="T29" i="21" s="1"/>
  <c r="Q29" i="21"/>
  <c r="S29" i="21" s="1"/>
  <c r="AL28" i="21"/>
  <c r="AJ28" i="21"/>
  <c r="AI28" i="21"/>
  <c r="AK28" i="21" s="1"/>
  <c r="R28" i="21"/>
  <c r="T28" i="21" s="1"/>
  <c r="Q28" i="21"/>
  <c r="S28" i="21" s="1"/>
  <c r="AL27" i="21"/>
  <c r="AJ27" i="21"/>
  <c r="AI27" i="21"/>
  <c r="AK27" i="21" s="1"/>
  <c r="R27" i="21"/>
  <c r="T27" i="21" s="1"/>
  <c r="Q27" i="21"/>
  <c r="S27" i="21" s="1"/>
  <c r="AJ26" i="21"/>
  <c r="AL26" i="21" s="1"/>
  <c r="AI26" i="21"/>
  <c r="AK26" i="21" s="1"/>
  <c r="R26" i="21"/>
  <c r="T26" i="21" s="1"/>
  <c r="Q26" i="21"/>
  <c r="S26" i="21" s="1"/>
  <c r="AL25" i="21"/>
  <c r="AJ25" i="21"/>
  <c r="AI25" i="21"/>
  <c r="AK25" i="21" s="1"/>
  <c r="R25" i="21"/>
  <c r="T25" i="21" s="1"/>
  <c r="Q25" i="21"/>
  <c r="S25" i="21" s="1"/>
  <c r="AL24" i="21"/>
  <c r="AJ24" i="21"/>
  <c r="AI24" i="21"/>
  <c r="AK24" i="21" s="1"/>
  <c r="R24" i="21"/>
  <c r="T24" i="21" s="1"/>
  <c r="Q24" i="21"/>
  <c r="S24" i="21" s="1"/>
  <c r="AJ23" i="21"/>
  <c r="AJ32" i="21" s="1"/>
  <c r="AJ59" i="21" s="1"/>
  <c r="AI23" i="21"/>
  <c r="AK23" i="21" s="1"/>
  <c r="R23" i="21"/>
  <c r="Q23" i="21"/>
  <c r="S23" i="21" s="1"/>
  <c r="W22" i="21"/>
  <c r="P22" i="21"/>
  <c r="M22" i="21"/>
  <c r="I22" i="21"/>
  <c r="G22" i="21"/>
  <c r="E22" i="21"/>
  <c r="C22" i="21"/>
  <c r="E21" i="21"/>
  <c r="E60" i="21" s="1"/>
  <c r="E64" i="21" s="1"/>
  <c r="C21" i="21"/>
  <c r="C60" i="21" s="1"/>
  <c r="C64" i="21" s="1"/>
  <c r="AG20" i="21"/>
  <c r="AG21" i="21" s="1"/>
  <c r="AE20" i="21"/>
  <c r="AE21" i="21" s="1"/>
  <c r="AC20" i="21"/>
  <c r="AC21" i="21" s="1"/>
  <c r="Y20" i="21"/>
  <c r="Y21" i="21" s="1"/>
  <c r="W20" i="21"/>
  <c r="W21" i="21" s="1"/>
  <c r="U20" i="21"/>
  <c r="U21" i="21" s="1"/>
  <c r="U22" i="21" s="1"/>
  <c r="O20" i="21"/>
  <c r="O21" i="21" s="1"/>
  <c r="M20" i="21"/>
  <c r="M21" i="21" s="1"/>
  <c r="K20" i="21"/>
  <c r="K21" i="21" s="1"/>
  <c r="G20" i="21"/>
  <c r="G21" i="21" s="1"/>
  <c r="E20" i="21"/>
  <c r="C20" i="21"/>
  <c r="AJ19" i="21"/>
  <c r="AI19" i="21"/>
  <c r="AB19" i="21"/>
  <c r="AL19" i="21" s="1"/>
  <c r="AA19" i="21"/>
  <c r="R19" i="21"/>
  <c r="Q19" i="21"/>
  <c r="J19" i="21"/>
  <c r="T19" i="21" s="1"/>
  <c r="I19" i="21"/>
  <c r="AJ18" i="21"/>
  <c r="AI18" i="21"/>
  <c r="AB18" i="21"/>
  <c r="AL18" i="21" s="1"/>
  <c r="AA18" i="21"/>
  <c r="R18" i="21"/>
  <c r="Q18" i="21"/>
  <c r="J18" i="21"/>
  <c r="T18" i="21" s="1"/>
  <c r="I18" i="21"/>
  <c r="AL17" i="21"/>
  <c r="AJ17" i="21"/>
  <c r="AI17" i="21"/>
  <c r="AB17" i="21"/>
  <c r="AA17" i="21"/>
  <c r="T17" i="21"/>
  <c r="R17" i="21"/>
  <c r="Q17" i="21"/>
  <c r="S17" i="21" s="1"/>
  <c r="J17" i="21"/>
  <c r="I17" i="21"/>
  <c r="AJ16" i="21"/>
  <c r="AI16" i="21"/>
  <c r="AB16" i="21"/>
  <c r="AL16" i="21" s="1"/>
  <c r="AA16" i="21"/>
  <c r="R16" i="21"/>
  <c r="Q16" i="21"/>
  <c r="J16" i="21"/>
  <c r="T16" i="21" s="1"/>
  <c r="I16" i="21"/>
  <c r="AJ15" i="21"/>
  <c r="AI15" i="21"/>
  <c r="AB15" i="21"/>
  <c r="AL15" i="21" s="1"/>
  <c r="AA15" i="21"/>
  <c r="R15" i="21"/>
  <c r="Q15" i="21"/>
  <c r="J15" i="21"/>
  <c r="T15" i="21" s="1"/>
  <c r="I15" i="21"/>
  <c r="AI14" i="21"/>
  <c r="AJ14" i="21"/>
  <c r="AA14" i="21"/>
  <c r="Q14" i="21"/>
  <c r="S14" i="21" s="1"/>
  <c r="I14" i="21"/>
  <c r="J14" i="21"/>
  <c r="AI13" i="21"/>
  <c r="AA13" i="21"/>
  <c r="AK13" i="21" s="1"/>
  <c r="Q13" i="21"/>
  <c r="S13" i="21" s="1"/>
  <c r="I13" i="21"/>
  <c r="J13" i="21"/>
  <c r="AI12" i="21"/>
  <c r="AA12" i="21"/>
  <c r="Q12" i="21"/>
  <c r="R12" i="21"/>
  <c r="I12" i="21"/>
  <c r="AI11" i="21"/>
  <c r="AH65" i="21"/>
  <c r="AF65" i="21"/>
  <c r="AJ11" i="21"/>
  <c r="AJ65" i="21" s="1"/>
  <c r="AA11" i="21"/>
  <c r="Z65" i="21"/>
  <c r="Q11" i="21"/>
  <c r="S11" i="21" s="1"/>
  <c r="L65" i="21"/>
  <c r="I11" i="21"/>
  <c r="F65" i="21"/>
  <c r="AI10" i="21"/>
  <c r="AA10" i="21"/>
  <c r="Q10" i="21"/>
  <c r="S10" i="21" s="1"/>
  <c r="I10" i="21"/>
  <c r="AI9" i="21"/>
  <c r="AA9" i="21"/>
  <c r="Q9" i="21"/>
  <c r="S9" i="21" s="1"/>
  <c r="R9" i="21"/>
  <c r="I9" i="21"/>
  <c r="AI8" i="21"/>
  <c r="AJ8" i="21"/>
  <c r="AA8" i="21"/>
  <c r="Q8" i="21"/>
  <c r="S8" i="21" s="1"/>
  <c r="R8" i="21"/>
  <c r="I8" i="21"/>
  <c r="AI7" i="21"/>
  <c r="AA7" i="21"/>
  <c r="AB7" i="21"/>
  <c r="Q7" i="21"/>
  <c r="S7" i="21" s="1"/>
  <c r="J7" i="21"/>
  <c r="I7" i="21"/>
  <c r="AI6" i="21"/>
  <c r="AH20" i="21"/>
  <c r="AA6" i="21"/>
  <c r="Z20" i="21"/>
  <c r="Q6" i="21"/>
  <c r="P20" i="21"/>
  <c r="I6" i="21"/>
  <c r="AI5" i="21"/>
  <c r="AB5" i="21"/>
  <c r="AA5" i="21"/>
  <c r="AA63" i="21" s="1"/>
  <c r="X63" i="21"/>
  <c r="Q5" i="21"/>
  <c r="P63" i="21"/>
  <c r="I5" i="21"/>
  <c r="F63" i="21"/>
  <c r="D63" i="21"/>
  <c r="N14" i="18"/>
  <c r="N13" i="18"/>
  <c r="N12" i="18"/>
  <c r="N11" i="18"/>
  <c r="N10" i="18"/>
  <c r="N9" i="18"/>
  <c r="N8" i="18"/>
  <c r="N7" i="18"/>
  <c r="N6" i="18"/>
  <c r="N5" i="18"/>
  <c r="L14" i="18"/>
  <c r="L13" i="18"/>
  <c r="L12" i="18"/>
  <c r="L11" i="18"/>
  <c r="L10" i="18"/>
  <c r="L9" i="18"/>
  <c r="L8" i="18"/>
  <c r="L7" i="18"/>
  <c r="L6" i="18"/>
  <c r="L5" i="18"/>
  <c r="H14" i="18"/>
  <c r="H13" i="18"/>
  <c r="H12" i="18"/>
  <c r="H11" i="18"/>
  <c r="H10" i="18"/>
  <c r="H9" i="18"/>
  <c r="H8" i="18"/>
  <c r="H7" i="18"/>
  <c r="H6" i="18"/>
  <c r="H5" i="18"/>
  <c r="F14" i="18"/>
  <c r="F13" i="18"/>
  <c r="F12" i="18"/>
  <c r="F11" i="18"/>
  <c r="F10" i="18"/>
  <c r="F9" i="18"/>
  <c r="F8" i="18"/>
  <c r="F7" i="18"/>
  <c r="F6" i="18"/>
  <c r="F5" i="18"/>
  <c r="D13" i="18"/>
  <c r="D12" i="18"/>
  <c r="D13" i="12"/>
  <c r="D11" i="18"/>
  <c r="D10" i="18"/>
  <c r="D9" i="18"/>
  <c r="D8" i="18"/>
  <c r="D14" i="18"/>
  <c r="D7" i="18"/>
  <c r="D6" i="18"/>
  <c r="D5" i="18"/>
  <c r="AN21" i="21" l="1"/>
  <c r="Z59" i="21"/>
  <c r="X59" i="21"/>
  <c r="V59" i="21"/>
  <c r="P59" i="21"/>
  <c r="N59" i="21"/>
  <c r="R32" i="21"/>
  <c r="R58" i="21"/>
  <c r="T57" i="21"/>
  <c r="T58" i="21" s="1"/>
  <c r="L59" i="21"/>
  <c r="T23" i="21"/>
  <c r="T32" i="21" s="1"/>
  <c r="H59" i="21"/>
  <c r="AN32" i="21"/>
  <c r="AN58" i="21"/>
  <c r="F59" i="21"/>
  <c r="AE60" i="21"/>
  <c r="AE64" i="21" s="1"/>
  <c r="AE65" i="21" s="1"/>
  <c r="AI58" i="21"/>
  <c r="AG60" i="21"/>
  <c r="AG22" i="21"/>
  <c r="AK7" i="21"/>
  <c r="AK17" i="21"/>
  <c r="AK8" i="21"/>
  <c r="AE22" i="21"/>
  <c r="AE61" i="21"/>
  <c r="AK32" i="21"/>
  <c r="AC60" i="21"/>
  <c r="AC64" i="21" s="1"/>
  <c r="AC65" i="21" s="1"/>
  <c r="AI20" i="21"/>
  <c r="AI21" i="21" s="1"/>
  <c r="AI22" i="21" s="1"/>
  <c r="AK16" i="21"/>
  <c r="AK19" i="21"/>
  <c r="AC22" i="21"/>
  <c r="AC61" i="21"/>
  <c r="Y59" i="21"/>
  <c r="Y60" i="21" s="1"/>
  <c r="Y22" i="21"/>
  <c r="W59" i="21"/>
  <c r="W60" i="21" s="1"/>
  <c r="AK10" i="21"/>
  <c r="AK14" i="21"/>
  <c r="AK15" i="21"/>
  <c r="AK5" i="21"/>
  <c r="AK63" i="21" s="1"/>
  <c r="AK9" i="21"/>
  <c r="O59" i="21"/>
  <c r="O60" i="21" s="1"/>
  <c r="O22" i="21"/>
  <c r="Q20" i="21"/>
  <c r="M60" i="21"/>
  <c r="M61" i="21" s="1"/>
  <c r="S16" i="21"/>
  <c r="AM20" i="21"/>
  <c r="AM21" i="21" s="1"/>
  <c r="AM58" i="21"/>
  <c r="K60" i="21"/>
  <c r="K64" i="21" s="1"/>
  <c r="K65" i="21" s="1"/>
  <c r="AM32" i="21"/>
  <c r="K22" i="21"/>
  <c r="K61" i="21"/>
  <c r="S19" i="21"/>
  <c r="S15" i="21"/>
  <c r="S18" i="21"/>
  <c r="Q21" i="21"/>
  <c r="Q22" i="21" s="1"/>
  <c r="AM58" i="12"/>
  <c r="AM59" i="12" s="1"/>
  <c r="AM60" i="12" s="1"/>
  <c r="AH22" i="21"/>
  <c r="AD20" i="21"/>
  <c r="AD21" i="21" s="1"/>
  <c r="AD60" i="21" s="1"/>
  <c r="AD64" i="21" s="1"/>
  <c r="AL13" i="21"/>
  <c r="AJ12" i="21"/>
  <c r="AJ10" i="21"/>
  <c r="AL10" i="21" s="1"/>
  <c r="AJ9" i="21"/>
  <c r="AL8" i="21"/>
  <c r="AB12" i="21"/>
  <c r="AB14" i="21"/>
  <c r="AL14" i="21" s="1"/>
  <c r="X20" i="21"/>
  <c r="X21" i="21" s="1"/>
  <c r="X65" i="21"/>
  <c r="R7" i="21"/>
  <c r="T7" i="21" s="1"/>
  <c r="T14" i="21"/>
  <c r="T12" i="21"/>
  <c r="R10" i="21"/>
  <c r="L20" i="21"/>
  <c r="L21" i="21" s="1"/>
  <c r="H20" i="21"/>
  <c r="H21" i="21" s="1"/>
  <c r="J10" i="21"/>
  <c r="F20" i="21"/>
  <c r="F21" i="21" s="1"/>
  <c r="J8" i="21"/>
  <c r="T8" i="21" s="1"/>
  <c r="O142" i="33"/>
  <c r="S32" i="21"/>
  <c r="I20" i="21"/>
  <c r="I21" i="21" s="1"/>
  <c r="I60" i="21" s="1"/>
  <c r="I64" i="21" s="1"/>
  <c r="AB11" i="21"/>
  <c r="AA20" i="21"/>
  <c r="AA21" i="21" s="1"/>
  <c r="AA60" i="21" s="1"/>
  <c r="AA64" i="21" s="1"/>
  <c r="AA65" i="21" s="1"/>
  <c r="AA59" i="21"/>
  <c r="S58" i="21"/>
  <c r="J61" i="21"/>
  <c r="J22" i="21"/>
  <c r="J63" i="21"/>
  <c r="V20" i="21"/>
  <c r="V21" i="21" s="1"/>
  <c r="J11" i="21"/>
  <c r="U60" i="21"/>
  <c r="AB59" i="21"/>
  <c r="S54" i="21"/>
  <c r="I58" i="21"/>
  <c r="AF63" i="21"/>
  <c r="AF61" i="21"/>
  <c r="AF22" i="21"/>
  <c r="N63" i="21"/>
  <c r="N61" i="21"/>
  <c r="N22" i="21"/>
  <c r="AI63" i="21"/>
  <c r="AJ7" i="21"/>
  <c r="AL7" i="21" s="1"/>
  <c r="AB9" i="21"/>
  <c r="G60" i="21"/>
  <c r="G64" i="21" s="1"/>
  <c r="D20" i="21"/>
  <c r="D21" i="21" s="1"/>
  <c r="D60" i="21" s="1"/>
  <c r="D64" i="21" s="1"/>
  <c r="AK11" i="21"/>
  <c r="Q32" i="21"/>
  <c r="Q63" i="21"/>
  <c r="AK6" i="21"/>
  <c r="S5" i="21"/>
  <c r="AB6" i="21"/>
  <c r="J9" i="21"/>
  <c r="T9" i="21" s="1"/>
  <c r="AK12" i="21"/>
  <c r="R13" i="21"/>
  <c r="T13" i="21" s="1"/>
  <c r="AA58" i="21"/>
  <c r="AK54" i="21"/>
  <c r="Z63" i="21"/>
  <c r="Z21" i="21"/>
  <c r="Z22" i="21" s="1"/>
  <c r="J6" i="21"/>
  <c r="S12" i="21"/>
  <c r="AK18" i="21"/>
  <c r="I59" i="21"/>
  <c r="AJ6" i="21"/>
  <c r="AF20" i="21"/>
  <c r="AF21" i="21" s="1"/>
  <c r="AF60" i="21" s="1"/>
  <c r="Q58" i="21"/>
  <c r="AK53" i="21"/>
  <c r="AK58" i="21" s="1"/>
  <c r="S57" i="21"/>
  <c r="H63" i="21"/>
  <c r="H61" i="21"/>
  <c r="H22" i="21"/>
  <c r="AB63" i="21"/>
  <c r="N20" i="21"/>
  <c r="N21" i="21" s="1"/>
  <c r="R6" i="21"/>
  <c r="AI32" i="21"/>
  <c r="AI59" i="21" s="1"/>
  <c r="L22" i="21"/>
  <c r="X22" i="21"/>
  <c r="AL23" i="21"/>
  <c r="AL32" i="21" s="1"/>
  <c r="L61" i="21"/>
  <c r="X61" i="21"/>
  <c r="V63" i="21"/>
  <c r="AH63" i="21"/>
  <c r="AD65" i="21"/>
  <c r="R5" i="21"/>
  <c r="T5" i="21" s="1"/>
  <c r="AJ5" i="21"/>
  <c r="R11" i="21"/>
  <c r="R65" i="21" s="1"/>
  <c r="P21" i="21"/>
  <c r="AL54" i="21"/>
  <c r="L63" i="21"/>
  <c r="D22" i="21"/>
  <c r="J58" i="21"/>
  <c r="J59" i="21" s="1"/>
  <c r="D61" i="21"/>
  <c r="P61" i="21"/>
  <c r="S6" i="21"/>
  <c r="F22" i="21"/>
  <c r="AD22" i="21"/>
  <c r="F61" i="21"/>
  <c r="AD61" i="21"/>
  <c r="AH21" i="21"/>
  <c r="AH60" i="21" s="1"/>
  <c r="AH64" i="21" s="1"/>
  <c r="V22" i="21"/>
  <c r="AD32" i="19"/>
  <c r="Z60" i="21" l="1"/>
  <c r="X60" i="21"/>
  <c r="X64" i="21" s="1"/>
  <c r="V60" i="21"/>
  <c r="V64" i="21" s="1"/>
  <c r="R59" i="21"/>
  <c r="P60" i="21"/>
  <c r="P64" i="21" s="1"/>
  <c r="N60" i="21"/>
  <c r="N64" i="21" s="1"/>
  <c r="AN59" i="21"/>
  <c r="AN60" i="21" s="1"/>
  <c r="AN64" i="21" s="1"/>
  <c r="T59" i="21"/>
  <c r="L60" i="21"/>
  <c r="L64" i="21" s="1"/>
  <c r="H60" i="21"/>
  <c r="H64" i="21" s="1"/>
  <c r="F60" i="21"/>
  <c r="F64" i="21" s="1"/>
  <c r="AK59" i="21"/>
  <c r="AG64" i="21"/>
  <c r="AG65" i="21" s="1"/>
  <c r="AG61" i="21"/>
  <c r="AI60" i="21"/>
  <c r="Y64" i="21"/>
  <c r="Y65" i="21" s="1"/>
  <c r="Y61" i="21"/>
  <c r="W64" i="21"/>
  <c r="W65" i="21" s="1"/>
  <c r="W61" i="21"/>
  <c r="AM59" i="21"/>
  <c r="AM60" i="21" s="1"/>
  <c r="U64" i="21"/>
  <c r="U65" i="21" s="1"/>
  <c r="U61" i="21"/>
  <c r="AA22" i="21"/>
  <c r="AA61" i="21"/>
  <c r="O64" i="21"/>
  <c r="O65" i="21" s="1"/>
  <c r="O61" i="21"/>
  <c r="M64" i="21"/>
  <c r="M65" i="21" s="1"/>
  <c r="AF64" i="21"/>
  <c r="AL12" i="21"/>
  <c r="AL9" i="21"/>
  <c r="AJ20" i="21"/>
  <c r="AJ21" i="21" s="1"/>
  <c r="AJ60" i="21" s="1"/>
  <c r="T10" i="21"/>
  <c r="S59" i="21"/>
  <c r="AJ63" i="21"/>
  <c r="AJ61" i="21"/>
  <c r="AJ22" i="21"/>
  <c r="R63" i="21"/>
  <c r="R61" i="21"/>
  <c r="R22" i="21"/>
  <c r="Q59" i="21"/>
  <c r="Q60" i="21" s="1"/>
  <c r="S20" i="21"/>
  <c r="S21" i="21" s="1"/>
  <c r="S22" i="21" s="1"/>
  <c r="AL6" i="21"/>
  <c r="AB20" i="21"/>
  <c r="AB21" i="21" s="1"/>
  <c r="AB65" i="21"/>
  <c r="AL11" i="21"/>
  <c r="AL65" i="21" s="1"/>
  <c r="R20" i="21"/>
  <c r="R21" i="21" s="1"/>
  <c r="R60" i="21" s="1"/>
  <c r="J20" i="21"/>
  <c r="J21" i="21" s="1"/>
  <c r="J60" i="21" s="1"/>
  <c r="J64" i="21" s="1"/>
  <c r="T6" i="21"/>
  <c r="T63" i="21"/>
  <c r="T61" i="21"/>
  <c r="T22" i="21"/>
  <c r="AL5" i="21"/>
  <c r="S63" i="21"/>
  <c r="AL59" i="21"/>
  <c r="AL58" i="21"/>
  <c r="AK20" i="21"/>
  <c r="AK21" i="21" s="1"/>
  <c r="T11" i="21"/>
  <c r="J65" i="21"/>
  <c r="K130" i="32"/>
  <c r="AB60" i="21" l="1"/>
  <c r="AB22" i="21"/>
  <c r="Z64" i="21"/>
  <c r="Z61" i="21"/>
  <c r="AM65" i="21"/>
  <c r="AM64" i="21"/>
  <c r="AI64" i="21"/>
  <c r="AI65" i="21" s="1"/>
  <c r="AI61" i="21"/>
  <c r="AK60" i="21"/>
  <c r="AK22" i="21"/>
  <c r="S60" i="21"/>
  <c r="S64" i="21" s="1"/>
  <c r="S65" i="21" s="1"/>
  <c r="S61" i="21"/>
  <c r="Q64" i="21"/>
  <c r="Q65" i="21" s="1"/>
  <c r="Q61" i="21"/>
  <c r="AJ64" i="21"/>
  <c r="R64" i="21"/>
  <c r="AN61" i="21"/>
  <c r="AN22" i="21"/>
  <c r="T20" i="21"/>
  <c r="T21" i="21" s="1"/>
  <c r="T60" i="21" s="1"/>
  <c r="T64" i="21" s="1"/>
  <c r="AN65" i="21"/>
  <c r="T65" i="21"/>
  <c r="AM61" i="21"/>
  <c r="AM22" i="21"/>
  <c r="AL63" i="21"/>
  <c r="AL20" i="21"/>
  <c r="AL21" i="21" s="1"/>
  <c r="AL60" i="21" s="1"/>
  <c r="AL61" i="21" s="1"/>
  <c r="X24" i="23"/>
  <c r="AL22" i="21" l="1"/>
  <c r="AB64" i="21"/>
  <c r="AB61" i="21"/>
  <c r="AK64" i="21"/>
  <c r="AK65" i="21" s="1"/>
  <c r="AK61" i="21"/>
  <c r="AL64" i="21"/>
  <c r="G134" i="32" l="1"/>
  <c r="AB57" i="20" l="1"/>
  <c r="AB56" i="20"/>
  <c r="AB55" i="20"/>
  <c r="AB54" i="20"/>
  <c r="AB53" i="20"/>
  <c r="AB52" i="20"/>
  <c r="AB51" i="20"/>
  <c r="AB50" i="20"/>
  <c r="AB49" i="20"/>
  <c r="AB48" i="20"/>
  <c r="AB47" i="20"/>
  <c r="AB46" i="20"/>
  <c r="AB45" i="20"/>
  <c r="AB44" i="20"/>
  <c r="AB43" i="20"/>
  <c r="AB42" i="20"/>
  <c r="AB41" i="20"/>
  <c r="AB40" i="20"/>
  <c r="AB39" i="20"/>
  <c r="AB38" i="20"/>
  <c r="AB37" i="20"/>
  <c r="AB36" i="20"/>
  <c r="AB35" i="20"/>
  <c r="AB34" i="20"/>
  <c r="AB33" i="20"/>
  <c r="AB31" i="20"/>
  <c r="AB30" i="20"/>
  <c r="AB29" i="20"/>
  <c r="AB28" i="20"/>
  <c r="AB27" i="20"/>
  <c r="AB26" i="20"/>
  <c r="AB25" i="20"/>
  <c r="AB24" i="20"/>
  <c r="AB23" i="20"/>
  <c r="R57" i="20"/>
  <c r="R56" i="20"/>
  <c r="R55" i="20"/>
  <c r="R54" i="20"/>
  <c r="R53" i="20"/>
  <c r="R52" i="20"/>
  <c r="R51" i="20"/>
  <c r="R50" i="20"/>
  <c r="R49" i="20"/>
  <c r="R48" i="20"/>
  <c r="R47" i="20"/>
  <c r="R46" i="20"/>
  <c r="R45" i="20"/>
  <c r="R44" i="20"/>
  <c r="R43" i="20"/>
  <c r="R42" i="20"/>
  <c r="R41" i="20"/>
  <c r="R40" i="20"/>
  <c r="R39" i="20"/>
  <c r="R38" i="20"/>
  <c r="R37" i="20"/>
  <c r="R36" i="20"/>
  <c r="R35" i="20"/>
  <c r="R34" i="20"/>
  <c r="R33" i="20"/>
  <c r="R31" i="20"/>
  <c r="R30" i="20"/>
  <c r="R29" i="20"/>
  <c r="R28" i="20"/>
  <c r="R27" i="20"/>
  <c r="R26" i="20"/>
  <c r="R25" i="20"/>
  <c r="R24" i="20"/>
  <c r="R23" i="20"/>
  <c r="J57" i="20"/>
  <c r="J56" i="20"/>
  <c r="T56" i="20" s="1"/>
  <c r="J55" i="20"/>
  <c r="T55" i="20" s="1"/>
  <c r="J54" i="20"/>
  <c r="J53" i="20"/>
  <c r="J52" i="20"/>
  <c r="J51" i="20"/>
  <c r="T51" i="20" s="1"/>
  <c r="J50" i="20"/>
  <c r="J49" i="20"/>
  <c r="J48" i="20"/>
  <c r="J47" i="20"/>
  <c r="T47" i="20" s="1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J31" i="20"/>
  <c r="J30" i="20"/>
  <c r="J29" i="20"/>
  <c r="J28" i="20"/>
  <c r="J27" i="20"/>
  <c r="J26" i="20"/>
  <c r="J25" i="20"/>
  <c r="J24" i="20"/>
  <c r="J23" i="20"/>
  <c r="T38" i="20" l="1"/>
  <c r="T39" i="20"/>
  <c r="T34" i="20"/>
  <c r="T42" i="20"/>
  <c r="T50" i="20"/>
  <c r="T43" i="20"/>
  <c r="T23" i="20"/>
  <c r="T26" i="20"/>
  <c r="T30" i="20"/>
  <c r="T31" i="20"/>
  <c r="T37" i="20"/>
  <c r="T52" i="20"/>
  <c r="T27" i="20"/>
  <c r="T53" i="20"/>
  <c r="T57" i="20"/>
  <c r="T48" i="20"/>
  <c r="T44" i="20"/>
  <c r="T36" i="20"/>
  <c r="T35" i="20"/>
  <c r="T40" i="20"/>
  <c r="T49" i="20"/>
  <c r="T28" i="20"/>
  <c r="T45" i="20"/>
  <c r="T24" i="20"/>
  <c r="T41" i="20"/>
  <c r="T25" i="20"/>
  <c r="T29" i="20"/>
  <c r="T46" i="20"/>
  <c r="T54" i="20"/>
  <c r="J33" i="20" l="1"/>
  <c r="T33" i="20" s="1"/>
  <c r="AM57" i="24" l="1"/>
  <c r="AM56" i="24"/>
  <c r="AM55" i="24"/>
  <c r="AM54" i="24"/>
  <c r="AM53" i="24"/>
  <c r="AM52" i="24"/>
  <c r="AM51" i="24"/>
  <c r="AM50" i="24"/>
  <c r="AM49" i="24"/>
  <c r="AM48" i="24"/>
  <c r="AM47" i="24"/>
  <c r="AM46" i="24"/>
  <c r="AM45" i="24"/>
  <c r="AM44" i="24"/>
  <c r="AM43" i="24"/>
  <c r="AM42" i="24"/>
  <c r="AM41" i="24"/>
  <c r="AM40" i="24"/>
  <c r="AM39" i="24"/>
  <c r="AM38" i="24"/>
  <c r="AM37" i="24"/>
  <c r="AM36" i="24"/>
  <c r="AM35" i="24"/>
  <c r="AM34" i="24"/>
  <c r="AM33" i="24"/>
  <c r="AM31" i="24"/>
  <c r="AM30" i="24"/>
  <c r="AM29" i="24"/>
  <c r="AM28" i="24"/>
  <c r="AM27" i="24"/>
  <c r="AM26" i="24"/>
  <c r="AM25" i="24"/>
  <c r="AM24" i="24"/>
  <c r="AM23" i="24"/>
  <c r="AM57" i="19"/>
  <c r="AM56" i="19"/>
  <c r="AM55" i="19"/>
  <c r="AM54" i="19"/>
  <c r="AM53" i="19"/>
  <c r="AM52" i="19"/>
  <c r="AM51" i="19"/>
  <c r="AM50" i="19"/>
  <c r="AM49" i="19"/>
  <c r="AM48" i="19"/>
  <c r="AM47" i="19"/>
  <c r="AM46" i="19"/>
  <c r="AM45" i="19"/>
  <c r="AM44" i="19"/>
  <c r="AM43" i="19"/>
  <c r="AM42" i="19"/>
  <c r="AM41" i="19"/>
  <c r="AM40" i="19"/>
  <c r="AM39" i="19"/>
  <c r="AM38" i="19"/>
  <c r="AM37" i="19"/>
  <c r="AM36" i="19"/>
  <c r="AM35" i="19"/>
  <c r="AM34" i="19"/>
  <c r="AM33" i="19"/>
  <c r="AM31" i="19"/>
  <c r="AM30" i="19"/>
  <c r="AM29" i="19"/>
  <c r="AM28" i="19"/>
  <c r="AM27" i="19"/>
  <c r="AM26" i="19"/>
  <c r="AM25" i="19"/>
  <c r="AM24" i="19"/>
  <c r="AM23" i="19"/>
  <c r="AM19" i="19"/>
  <c r="AM18" i="19"/>
  <c r="AM17" i="19"/>
  <c r="AM16" i="19"/>
  <c r="AM15" i="19"/>
  <c r="AM14" i="19"/>
  <c r="AM13" i="19"/>
  <c r="AM12" i="19"/>
  <c r="AM11" i="19"/>
  <c r="AM10" i="19"/>
  <c r="AM9" i="19"/>
  <c r="AM8" i="19"/>
  <c r="AM7" i="19"/>
  <c r="AM6" i="19"/>
  <c r="AM5" i="19"/>
  <c r="AM57" i="20"/>
  <c r="AM56" i="20"/>
  <c r="AM55" i="20"/>
  <c r="AM54" i="20"/>
  <c r="AM53" i="20"/>
  <c r="AM52" i="20"/>
  <c r="AM51" i="20"/>
  <c r="AM50" i="20"/>
  <c r="AM49" i="20"/>
  <c r="AM48" i="20"/>
  <c r="AM47" i="20"/>
  <c r="AM46" i="20"/>
  <c r="AM45" i="20"/>
  <c r="AM44" i="20"/>
  <c r="AM43" i="20"/>
  <c r="AM42" i="20"/>
  <c r="AM41" i="20"/>
  <c r="AM40" i="20"/>
  <c r="AM39" i="20"/>
  <c r="AM38" i="20"/>
  <c r="AM37" i="20"/>
  <c r="AM36" i="20"/>
  <c r="AM35" i="20"/>
  <c r="AM34" i="20"/>
  <c r="AM33" i="20"/>
  <c r="AM31" i="20"/>
  <c r="AM30" i="20"/>
  <c r="AM29" i="20"/>
  <c r="AM28" i="20"/>
  <c r="AM27" i="20"/>
  <c r="AM26" i="20"/>
  <c r="AM25" i="20"/>
  <c r="AM24" i="20"/>
  <c r="AM23" i="20"/>
  <c r="AM19" i="20"/>
  <c r="AM18" i="20"/>
  <c r="AM17" i="20"/>
  <c r="AM16" i="20"/>
  <c r="AM15" i="20"/>
  <c r="AM14" i="20"/>
  <c r="AM13" i="20"/>
  <c r="AM12" i="20"/>
  <c r="AM11" i="20"/>
  <c r="AM10" i="20"/>
  <c r="AM9" i="20"/>
  <c r="AM8" i="20"/>
  <c r="AM7" i="20"/>
  <c r="AM6" i="20"/>
  <c r="AM5" i="20"/>
  <c r="N130" i="32" l="1"/>
  <c r="AF32" i="12" l="1"/>
  <c r="N142" i="32" l="1"/>
  <c r="N141" i="32"/>
  <c r="N140" i="32"/>
  <c r="N139" i="32"/>
  <c r="N138" i="32"/>
  <c r="N137" i="32"/>
  <c r="N136" i="32"/>
  <c r="N135" i="32"/>
  <c r="N134" i="32"/>
  <c r="N133" i="32"/>
  <c r="N132" i="32"/>
  <c r="N131" i="32"/>
  <c r="N143" i="32"/>
  <c r="M142" i="32"/>
  <c r="M141" i="32"/>
  <c r="M140" i="32"/>
  <c r="M139" i="32"/>
  <c r="M138" i="32"/>
  <c r="M137" i="32"/>
  <c r="M136" i="32"/>
  <c r="M135" i="32"/>
  <c r="M134" i="32"/>
  <c r="M133" i="32"/>
  <c r="M132" i="32"/>
  <c r="M131" i="32"/>
  <c r="M130" i="32"/>
  <c r="M143" i="32" s="1"/>
  <c r="L130" i="32"/>
  <c r="L142" i="32"/>
  <c r="L141" i="32"/>
  <c r="L140" i="32"/>
  <c r="L139" i="32"/>
  <c r="L138" i="32"/>
  <c r="L137" i="32"/>
  <c r="L136" i="32"/>
  <c r="L135" i="32"/>
  <c r="L134" i="32"/>
  <c r="L133" i="32"/>
  <c r="L132" i="32"/>
  <c r="L131" i="32"/>
  <c r="L143" i="32"/>
  <c r="K142" i="32" l="1"/>
  <c r="K141" i="32"/>
  <c r="K140" i="32"/>
  <c r="K139" i="32"/>
  <c r="K138" i="32"/>
  <c r="K137" i="32"/>
  <c r="K136" i="32"/>
  <c r="K135" i="32"/>
  <c r="K134" i="32"/>
  <c r="K133" i="32"/>
  <c r="K132" i="32"/>
  <c r="K131" i="32"/>
  <c r="K143" i="32"/>
  <c r="J142" i="32" l="1"/>
  <c r="J141" i="32"/>
  <c r="J140" i="32"/>
  <c r="J139" i="32"/>
  <c r="J138" i="32"/>
  <c r="J137" i="32"/>
  <c r="J136" i="32"/>
  <c r="J135" i="32"/>
  <c r="J134" i="32"/>
  <c r="J133" i="32"/>
  <c r="J132" i="32"/>
  <c r="J131" i="32"/>
  <c r="J130" i="32"/>
  <c r="J143" i="32" s="1"/>
  <c r="I142" i="32" l="1"/>
  <c r="I141" i="32"/>
  <c r="I140" i="32"/>
  <c r="I139" i="32"/>
  <c r="I138" i="32"/>
  <c r="I137" i="32"/>
  <c r="I136" i="32"/>
  <c r="I135" i="32"/>
  <c r="I134" i="32"/>
  <c r="I133" i="32"/>
  <c r="I132" i="32"/>
  <c r="I131" i="32"/>
  <c r="I130" i="32"/>
  <c r="I143" i="32" s="1"/>
  <c r="H142" i="32" l="1"/>
  <c r="H141" i="32"/>
  <c r="H140" i="32"/>
  <c r="H139" i="32"/>
  <c r="H138" i="32"/>
  <c r="H137" i="32"/>
  <c r="H136" i="32"/>
  <c r="H135" i="32"/>
  <c r="H134" i="32"/>
  <c r="H133" i="32"/>
  <c r="H132" i="32"/>
  <c r="H131" i="32"/>
  <c r="H130" i="32"/>
  <c r="H143" i="32" s="1"/>
  <c r="L57" i="23" l="1"/>
  <c r="AH14" i="31" l="1"/>
  <c r="AH13" i="31"/>
  <c r="AH12" i="31"/>
  <c r="AH11" i="31"/>
  <c r="AH10" i="31"/>
  <c r="AH9" i="31"/>
  <c r="AH8" i="31"/>
  <c r="AH7" i="31"/>
  <c r="AH6" i="31"/>
  <c r="AH5" i="31"/>
  <c r="AF14" i="31"/>
  <c r="AF13" i="31"/>
  <c r="AF12" i="31"/>
  <c r="AF11" i="31"/>
  <c r="AF10" i="31"/>
  <c r="AF9" i="31"/>
  <c r="AF8" i="31"/>
  <c r="AF7" i="31"/>
  <c r="AF6" i="31"/>
  <c r="AF5" i="31"/>
  <c r="AD14" i="31"/>
  <c r="AD13" i="31"/>
  <c r="AD12" i="31"/>
  <c r="AD11" i="31"/>
  <c r="AD10" i="31"/>
  <c r="AD9" i="31"/>
  <c r="AD8" i="31"/>
  <c r="AD7" i="31"/>
  <c r="AD6" i="31"/>
  <c r="AD5" i="31"/>
  <c r="Z14" i="31"/>
  <c r="Z13" i="31"/>
  <c r="Z12" i="31"/>
  <c r="Z11" i="31"/>
  <c r="Z10" i="31"/>
  <c r="Z9" i="31"/>
  <c r="Z8" i="31"/>
  <c r="Z7" i="31"/>
  <c r="Z6" i="31"/>
  <c r="Z5" i="31"/>
  <c r="X14" i="31"/>
  <c r="X13" i="31"/>
  <c r="X12" i="31"/>
  <c r="X11" i="31"/>
  <c r="X10" i="31"/>
  <c r="X9" i="31"/>
  <c r="X8" i="31"/>
  <c r="X7" i="31"/>
  <c r="X6" i="31"/>
  <c r="X5" i="31"/>
  <c r="V13" i="31"/>
  <c r="V14" i="31"/>
  <c r="V12" i="31"/>
  <c r="V11" i="31"/>
  <c r="V10" i="31"/>
  <c r="V9" i="31"/>
  <c r="V8" i="31"/>
  <c r="V7" i="31"/>
  <c r="V6" i="31"/>
  <c r="V5" i="31"/>
  <c r="P14" i="31"/>
  <c r="P13" i="31"/>
  <c r="P12" i="31"/>
  <c r="P11" i="31"/>
  <c r="P10" i="31"/>
  <c r="P9" i="31"/>
  <c r="P8" i="31"/>
  <c r="P7" i="31"/>
  <c r="P6" i="31"/>
  <c r="P5" i="31"/>
  <c r="P5" i="23" s="1"/>
  <c r="AH14" i="20"/>
  <c r="AH13" i="20"/>
  <c r="AH12" i="20"/>
  <c r="AH11" i="20"/>
  <c r="AH10" i="20"/>
  <c r="AH9" i="20"/>
  <c r="AH8" i="20"/>
  <c r="AH7" i="20"/>
  <c r="AH6" i="20"/>
  <c r="AH5" i="20"/>
  <c r="AF14" i="20"/>
  <c r="AF13" i="20"/>
  <c r="AF12" i="20"/>
  <c r="AF11" i="20"/>
  <c r="AF10" i="20"/>
  <c r="AF9" i="20"/>
  <c r="AF8" i="20"/>
  <c r="AF7" i="20"/>
  <c r="AF6" i="20"/>
  <c r="AF5" i="20"/>
  <c r="AD14" i="20"/>
  <c r="AD13" i="20"/>
  <c r="AD12" i="20"/>
  <c r="AD11" i="20"/>
  <c r="AD10" i="20"/>
  <c r="AD9" i="20"/>
  <c r="AD8" i="20"/>
  <c r="AD7" i="20"/>
  <c r="AD6" i="20"/>
  <c r="AD5" i="20"/>
  <c r="Z14" i="20"/>
  <c r="Z13" i="20"/>
  <c r="Z12" i="20"/>
  <c r="Z11" i="20"/>
  <c r="Z10" i="20"/>
  <c r="Z9" i="20"/>
  <c r="Z8" i="20"/>
  <c r="Z7" i="20"/>
  <c r="Z6" i="20"/>
  <c r="Z5" i="20"/>
  <c r="X14" i="20"/>
  <c r="X13" i="20"/>
  <c r="X12" i="20"/>
  <c r="X11" i="20"/>
  <c r="X10" i="20"/>
  <c r="X9" i="20"/>
  <c r="X8" i="20"/>
  <c r="X7" i="20"/>
  <c r="X6" i="20"/>
  <c r="X5" i="20"/>
  <c r="V13" i="20"/>
  <c r="V14" i="20"/>
  <c r="V12" i="20"/>
  <c r="V11" i="20"/>
  <c r="V10" i="20"/>
  <c r="V9" i="20"/>
  <c r="V8" i="20"/>
  <c r="V7" i="20"/>
  <c r="V6" i="20"/>
  <c r="V5" i="20"/>
  <c r="P14" i="20"/>
  <c r="P13" i="20"/>
  <c r="P12" i="20"/>
  <c r="P11" i="20"/>
  <c r="P10" i="20"/>
  <c r="P9" i="20"/>
  <c r="P8" i="20"/>
  <c r="P7" i="20"/>
  <c r="P6" i="20"/>
  <c r="P5" i="20"/>
  <c r="AH14" i="19"/>
  <c r="AH13" i="19"/>
  <c r="AH12" i="19"/>
  <c r="AH11" i="19"/>
  <c r="AH10" i="19"/>
  <c r="AH9" i="19"/>
  <c r="AH8" i="19"/>
  <c r="AH7" i="19"/>
  <c r="AH6" i="19"/>
  <c r="AH5" i="19"/>
  <c r="AF14" i="19"/>
  <c r="AF13" i="19"/>
  <c r="AF12" i="19"/>
  <c r="AF11" i="19"/>
  <c r="AF10" i="19"/>
  <c r="AF9" i="19"/>
  <c r="AF8" i="19"/>
  <c r="AF7" i="19"/>
  <c r="AF6" i="19"/>
  <c r="AF5" i="19"/>
  <c r="AD14" i="19"/>
  <c r="AD13" i="19"/>
  <c r="AD12" i="19"/>
  <c r="AD11" i="19"/>
  <c r="AD10" i="19"/>
  <c r="AD9" i="19"/>
  <c r="AD8" i="19"/>
  <c r="AD7" i="19"/>
  <c r="AD6" i="19"/>
  <c r="AD5" i="19"/>
  <c r="Z14" i="19"/>
  <c r="Z13" i="19"/>
  <c r="Z12" i="19"/>
  <c r="Z11" i="19"/>
  <c r="Z10" i="19"/>
  <c r="Z9" i="19"/>
  <c r="Z8" i="19"/>
  <c r="Z7" i="19"/>
  <c r="Z6" i="19"/>
  <c r="Z5" i="19"/>
  <c r="X14" i="19"/>
  <c r="X13" i="19"/>
  <c r="X12" i="19"/>
  <c r="X11" i="19"/>
  <c r="X10" i="19"/>
  <c r="X9" i="19"/>
  <c r="X8" i="19"/>
  <c r="X7" i="19"/>
  <c r="X6" i="19"/>
  <c r="X5" i="19"/>
  <c r="V13" i="19"/>
  <c r="V14" i="19"/>
  <c r="V12" i="19"/>
  <c r="V11" i="19"/>
  <c r="V10" i="19"/>
  <c r="V9" i="19"/>
  <c r="V8" i="19"/>
  <c r="V7" i="19"/>
  <c r="V6" i="19"/>
  <c r="V5" i="19"/>
  <c r="P14" i="19"/>
  <c r="P13" i="19"/>
  <c r="P12" i="19"/>
  <c r="P11" i="19"/>
  <c r="P10" i="19"/>
  <c r="P9" i="19"/>
  <c r="P8" i="19"/>
  <c r="P7" i="19"/>
  <c r="P6" i="19"/>
  <c r="P5" i="19"/>
  <c r="AH14" i="12"/>
  <c r="AH13" i="12"/>
  <c r="AH12" i="12"/>
  <c r="AH11" i="12"/>
  <c r="AH10" i="12"/>
  <c r="AH9" i="12"/>
  <c r="AH8" i="12"/>
  <c r="AH7" i="12"/>
  <c r="AH6" i="12"/>
  <c r="AH5" i="12"/>
  <c r="AF14" i="12"/>
  <c r="AF13" i="12"/>
  <c r="AF12" i="12"/>
  <c r="AF11" i="12"/>
  <c r="AF10" i="12"/>
  <c r="AF9" i="12"/>
  <c r="AF8" i="12"/>
  <c r="AF7" i="12"/>
  <c r="AF6" i="12"/>
  <c r="AF5" i="12"/>
  <c r="AD13" i="12"/>
  <c r="AD14" i="12"/>
  <c r="AD12" i="12"/>
  <c r="AD11" i="12"/>
  <c r="AD10" i="12"/>
  <c r="AD9" i="12"/>
  <c r="AD8" i="12"/>
  <c r="AD7" i="12"/>
  <c r="AD6" i="12"/>
  <c r="AD5" i="12"/>
  <c r="Z14" i="12"/>
  <c r="Z13" i="12"/>
  <c r="Z12" i="12"/>
  <c r="Z11" i="12"/>
  <c r="Z10" i="12"/>
  <c r="Z9" i="12"/>
  <c r="Z8" i="12"/>
  <c r="Z7" i="12"/>
  <c r="Z6" i="12"/>
  <c r="Z5" i="12"/>
  <c r="X14" i="12"/>
  <c r="X13" i="12"/>
  <c r="X12" i="12"/>
  <c r="X11" i="12"/>
  <c r="X10" i="12"/>
  <c r="X9" i="12"/>
  <c r="X8" i="12"/>
  <c r="X7" i="12"/>
  <c r="X6" i="12"/>
  <c r="X5" i="12"/>
  <c r="V14" i="12"/>
  <c r="V13" i="12"/>
  <c r="V12" i="12"/>
  <c r="V11" i="12"/>
  <c r="V10" i="12"/>
  <c r="V9" i="12"/>
  <c r="V8" i="12"/>
  <c r="V7" i="12"/>
  <c r="V6" i="12"/>
  <c r="V5" i="12"/>
  <c r="P14" i="12"/>
  <c r="P13" i="12"/>
  <c r="P12" i="12"/>
  <c r="P11" i="12"/>
  <c r="P10" i="12"/>
  <c r="P9" i="12"/>
  <c r="P8" i="12"/>
  <c r="P7" i="12"/>
  <c r="P6" i="12"/>
  <c r="P5" i="12"/>
  <c r="N14" i="20"/>
  <c r="N13" i="20"/>
  <c r="N12" i="20"/>
  <c r="N11" i="20"/>
  <c r="N10" i="20"/>
  <c r="N9" i="20"/>
  <c r="N8" i="20"/>
  <c r="N7" i="20"/>
  <c r="N6" i="20"/>
  <c r="N5" i="20"/>
  <c r="N14" i="19"/>
  <c r="N13" i="19"/>
  <c r="N12" i="19"/>
  <c r="N11" i="19"/>
  <c r="N10" i="19"/>
  <c r="N9" i="19"/>
  <c r="N8" i="19"/>
  <c r="N7" i="19"/>
  <c r="N6" i="19"/>
  <c r="N5" i="19"/>
  <c r="G142" i="32"/>
  <c r="G141" i="32"/>
  <c r="G140" i="32"/>
  <c r="G139" i="32"/>
  <c r="N13" i="31" s="1"/>
  <c r="G138" i="32"/>
  <c r="N12" i="31" s="1"/>
  <c r="G137" i="32"/>
  <c r="N11" i="31" s="1"/>
  <c r="G136" i="32"/>
  <c r="N10" i="31" s="1"/>
  <c r="G135" i="32"/>
  <c r="N9" i="31" s="1"/>
  <c r="N8" i="31"/>
  <c r="G133" i="32"/>
  <c r="N14" i="31" s="1"/>
  <c r="G132" i="32"/>
  <c r="N7" i="31" s="1"/>
  <c r="G131" i="32"/>
  <c r="N6" i="31" s="1"/>
  <c r="G130" i="32"/>
  <c r="G143" i="32" s="1"/>
  <c r="N14" i="12"/>
  <c r="N13" i="12"/>
  <c r="N12" i="12"/>
  <c r="N11" i="12"/>
  <c r="N10" i="12"/>
  <c r="N9" i="12"/>
  <c r="N8" i="12"/>
  <c r="N7" i="12"/>
  <c r="N6" i="12"/>
  <c r="N5" i="12"/>
  <c r="N5" i="31" l="1"/>
  <c r="L32" i="20"/>
  <c r="L14" i="20" l="1"/>
  <c r="L13" i="20"/>
  <c r="L12" i="20"/>
  <c r="L11" i="20"/>
  <c r="L10" i="20"/>
  <c r="L9" i="20"/>
  <c r="L8" i="20"/>
  <c r="L7" i="20"/>
  <c r="L6" i="20"/>
  <c r="L5" i="20"/>
  <c r="F142" i="32"/>
  <c r="F141" i="32"/>
  <c r="F140" i="32"/>
  <c r="F139" i="32"/>
  <c r="L13" i="31" s="1"/>
  <c r="F138" i="32"/>
  <c r="L12" i="31" s="1"/>
  <c r="F137" i="32"/>
  <c r="L11" i="31" s="1"/>
  <c r="F136" i="32"/>
  <c r="L10" i="31" s="1"/>
  <c r="F135" i="32"/>
  <c r="L9" i="31" s="1"/>
  <c r="F134" i="32"/>
  <c r="L8" i="31" s="1"/>
  <c r="F133" i="32"/>
  <c r="L14" i="31" s="1"/>
  <c r="F132" i="32"/>
  <c r="L7" i="31" s="1"/>
  <c r="F131" i="32"/>
  <c r="L6" i="31" s="1"/>
  <c r="F130" i="32"/>
  <c r="L14" i="19"/>
  <c r="L13" i="19"/>
  <c r="L12" i="19"/>
  <c r="L11" i="19"/>
  <c r="L10" i="19"/>
  <c r="L9" i="19"/>
  <c r="L8" i="19"/>
  <c r="L7" i="19"/>
  <c r="L6" i="19"/>
  <c r="L5" i="19"/>
  <c r="L14" i="12"/>
  <c r="L13" i="12"/>
  <c r="L12" i="12"/>
  <c r="L11" i="12"/>
  <c r="L10" i="12"/>
  <c r="L9" i="12"/>
  <c r="L8" i="12"/>
  <c r="L7" i="12"/>
  <c r="L6" i="12"/>
  <c r="L5" i="12"/>
  <c r="F143" i="32" l="1"/>
  <c r="L5" i="31"/>
  <c r="H14" i="20" l="1"/>
  <c r="H13" i="20"/>
  <c r="H12" i="20"/>
  <c r="H11" i="20"/>
  <c r="H10" i="20"/>
  <c r="H9" i="20"/>
  <c r="H8" i="20"/>
  <c r="H7" i="20"/>
  <c r="H6" i="20"/>
  <c r="H5" i="20"/>
  <c r="H14" i="19"/>
  <c r="H13" i="19"/>
  <c r="H12" i="19"/>
  <c r="H11" i="19"/>
  <c r="H10" i="19"/>
  <c r="H9" i="19"/>
  <c r="H8" i="19"/>
  <c r="H7" i="19"/>
  <c r="H6" i="19"/>
  <c r="H5" i="19"/>
  <c r="H14" i="12"/>
  <c r="H13" i="12"/>
  <c r="H12" i="12"/>
  <c r="H11" i="12"/>
  <c r="H10" i="12"/>
  <c r="H9" i="12"/>
  <c r="H8" i="12"/>
  <c r="H7" i="12"/>
  <c r="H6" i="12"/>
  <c r="H5" i="12"/>
  <c r="E130" i="32"/>
  <c r="H5" i="31" s="1"/>
  <c r="E142" i="32"/>
  <c r="E141" i="32"/>
  <c r="E140" i="32"/>
  <c r="E139" i="32"/>
  <c r="H13" i="31" s="1"/>
  <c r="E138" i="32"/>
  <c r="H12" i="31" s="1"/>
  <c r="E137" i="32"/>
  <c r="H11" i="31" s="1"/>
  <c r="E136" i="32"/>
  <c r="H10" i="31" s="1"/>
  <c r="E135" i="32"/>
  <c r="H9" i="31" s="1"/>
  <c r="E134" i="32"/>
  <c r="H8" i="31" s="1"/>
  <c r="E133" i="32"/>
  <c r="H14" i="31" s="1"/>
  <c r="E132" i="32"/>
  <c r="H7" i="31" s="1"/>
  <c r="E131" i="32"/>
  <c r="H6" i="31" s="1"/>
  <c r="E143" i="32" l="1"/>
  <c r="F13" i="20"/>
  <c r="F14" i="20"/>
  <c r="F12" i="20"/>
  <c r="F11" i="20"/>
  <c r="F10" i="20"/>
  <c r="F9" i="20"/>
  <c r="F8" i="20"/>
  <c r="F7" i="20"/>
  <c r="F6" i="20"/>
  <c r="F5" i="20"/>
  <c r="F13" i="19"/>
  <c r="F12" i="19"/>
  <c r="F11" i="19"/>
  <c r="F10" i="19"/>
  <c r="F9" i="19"/>
  <c r="F8" i="19"/>
  <c r="F14" i="19"/>
  <c r="F7" i="19"/>
  <c r="F6" i="19"/>
  <c r="F5" i="19"/>
  <c r="F13" i="12"/>
  <c r="F12" i="12"/>
  <c r="F11" i="12"/>
  <c r="F10" i="12"/>
  <c r="F9" i="12"/>
  <c r="F14" i="12"/>
  <c r="F8" i="12"/>
  <c r="F7" i="12"/>
  <c r="F6" i="12"/>
  <c r="F5" i="12"/>
  <c r="D131" i="32"/>
  <c r="F6" i="31" s="1"/>
  <c r="D130" i="32"/>
  <c r="F5" i="31" s="1"/>
  <c r="D142" i="32"/>
  <c r="D141" i="32"/>
  <c r="D140" i="32"/>
  <c r="D139" i="32"/>
  <c r="F13" i="31" s="1"/>
  <c r="D138" i="32"/>
  <c r="F12" i="31" s="1"/>
  <c r="D137" i="32"/>
  <c r="F11" i="31" s="1"/>
  <c r="D136" i="32"/>
  <c r="F10" i="31" s="1"/>
  <c r="D135" i="32"/>
  <c r="F9" i="31" s="1"/>
  <c r="D134" i="32"/>
  <c r="F8" i="31" s="1"/>
  <c r="D133" i="32"/>
  <c r="F14" i="31" s="1"/>
  <c r="D132" i="32"/>
  <c r="F7" i="31" s="1"/>
  <c r="D143" i="32" l="1"/>
  <c r="C142" i="32" l="1"/>
  <c r="C141" i="32"/>
  <c r="C140" i="32"/>
  <c r="C139" i="32"/>
  <c r="C138" i="32"/>
  <c r="C137" i="32"/>
  <c r="C136" i="32"/>
  <c r="C135" i="32"/>
  <c r="C134" i="32"/>
  <c r="C133" i="32"/>
  <c r="C132" i="32"/>
  <c r="C131" i="32"/>
  <c r="C130" i="32"/>
  <c r="C143" i="32" s="1"/>
  <c r="D14" i="31" l="1"/>
  <c r="D13" i="31"/>
  <c r="D12" i="31"/>
  <c r="D11" i="31"/>
  <c r="D10" i="31"/>
  <c r="D9" i="31"/>
  <c r="D8" i="31"/>
  <c r="D7" i="31"/>
  <c r="D6" i="31"/>
  <c r="D5" i="31"/>
  <c r="D14" i="20"/>
  <c r="D13" i="20"/>
  <c r="D12" i="20"/>
  <c r="D11" i="20"/>
  <c r="D10" i="20"/>
  <c r="D9" i="20"/>
  <c r="D8" i="20"/>
  <c r="D7" i="20"/>
  <c r="D6" i="20"/>
  <c r="D5" i="20"/>
  <c r="D14" i="19"/>
  <c r="D13" i="19"/>
  <c r="D12" i="19"/>
  <c r="D11" i="19"/>
  <c r="D10" i="19"/>
  <c r="D9" i="19"/>
  <c r="D8" i="19"/>
  <c r="D7" i="19"/>
  <c r="D6" i="19"/>
  <c r="D14" i="12"/>
  <c r="D12" i="12"/>
  <c r="D11" i="12"/>
  <c r="D10" i="12"/>
  <c r="D9" i="12"/>
  <c r="D8" i="12"/>
  <c r="D7" i="12"/>
  <c r="D6" i="12"/>
  <c r="D5" i="12"/>
  <c r="D5" i="19"/>
  <c r="AI57" i="20" l="1"/>
  <c r="Q57" i="20"/>
  <c r="AK57" i="20" l="1"/>
  <c r="AH58" i="12"/>
  <c r="AH56" i="23" l="1"/>
  <c r="AH55" i="23"/>
  <c r="AH54" i="23"/>
  <c r="AH53" i="23"/>
  <c r="AH52" i="23"/>
  <c r="AH51" i="23"/>
  <c r="AH50" i="23"/>
  <c r="AH49" i="23"/>
  <c r="AH48" i="23"/>
  <c r="AH47" i="23"/>
  <c r="AH46" i="23"/>
  <c r="AH45" i="23"/>
  <c r="AH44" i="23"/>
  <c r="AH43" i="23"/>
  <c r="AH42" i="23"/>
  <c r="AH41" i="23"/>
  <c r="AH40" i="23"/>
  <c r="AH39" i="23"/>
  <c r="AH38" i="23"/>
  <c r="AH37" i="23"/>
  <c r="AH36" i="23"/>
  <c r="AH35" i="23"/>
  <c r="AH34" i="23"/>
  <c r="AH33" i="23"/>
  <c r="AH31" i="23"/>
  <c r="AH30" i="23"/>
  <c r="AH29" i="23"/>
  <c r="AH28" i="23"/>
  <c r="AH27" i="23"/>
  <c r="AH26" i="23"/>
  <c r="AH25" i="23"/>
  <c r="AH24" i="23"/>
  <c r="AH23" i="23"/>
  <c r="AH19" i="23"/>
  <c r="AH18" i="23"/>
  <c r="AH17" i="23"/>
  <c r="AH16" i="23"/>
  <c r="AH15" i="23"/>
  <c r="AF56" i="23" l="1"/>
  <c r="AF55" i="23"/>
  <c r="AF54" i="23"/>
  <c r="AF53" i="23"/>
  <c r="AF52" i="23"/>
  <c r="AF51" i="23"/>
  <c r="AF50" i="23"/>
  <c r="AF49" i="23"/>
  <c r="AF48" i="23"/>
  <c r="AF47" i="23"/>
  <c r="AF46" i="23"/>
  <c r="AF45" i="23"/>
  <c r="AF44" i="23"/>
  <c r="AF43" i="23"/>
  <c r="AF42" i="23"/>
  <c r="AF41" i="23"/>
  <c r="AF40" i="23"/>
  <c r="AF39" i="23"/>
  <c r="AF38" i="23"/>
  <c r="AF37" i="23"/>
  <c r="AF36" i="23"/>
  <c r="AF35" i="23"/>
  <c r="AF34" i="23"/>
  <c r="AF33" i="23"/>
  <c r="AF31" i="23"/>
  <c r="AF30" i="23"/>
  <c r="AF29" i="23"/>
  <c r="AF28" i="23"/>
  <c r="AF27" i="23"/>
  <c r="AF26" i="23"/>
  <c r="AF25" i="23"/>
  <c r="AF24" i="23"/>
  <c r="AF23" i="23"/>
  <c r="AF19" i="23"/>
  <c r="AF18" i="23"/>
  <c r="AF17" i="23"/>
  <c r="AF15" i="23"/>
  <c r="AF16" i="23" l="1"/>
  <c r="AD56" i="23" l="1"/>
  <c r="AD55" i="23"/>
  <c r="AD54" i="23"/>
  <c r="AD53" i="23"/>
  <c r="AD52" i="23"/>
  <c r="AD51" i="23"/>
  <c r="AD50" i="23"/>
  <c r="AD49" i="23"/>
  <c r="AD48" i="23"/>
  <c r="AD47" i="23"/>
  <c r="AD46" i="23"/>
  <c r="AD45" i="23"/>
  <c r="AD44" i="23"/>
  <c r="AD43" i="23"/>
  <c r="AD42" i="23"/>
  <c r="AD41" i="23"/>
  <c r="AD40" i="23"/>
  <c r="AD39" i="23"/>
  <c r="AD38" i="23"/>
  <c r="AD37" i="23"/>
  <c r="AD36" i="23"/>
  <c r="AD35" i="23"/>
  <c r="AD34" i="23"/>
  <c r="AD33" i="23"/>
  <c r="AD31" i="23"/>
  <c r="AD30" i="23"/>
  <c r="AD29" i="23"/>
  <c r="AD28" i="23"/>
  <c r="AD27" i="23"/>
  <c r="AD26" i="23"/>
  <c r="AD25" i="23"/>
  <c r="AD24" i="23"/>
  <c r="AD23" i="23"/>
  <c r="AD19" i="23"/>
  <c r="AD18" i="23"/>
  <c r="AD17" i="23"/>
  <c r="AD16" i="23"/>
  <c r="AD15" i="23"/>
  <c r="Z56" i="23" l="1"/>
  <c r="Z55" i="23"/>
  <c r="Z54" i="23"/>
  <c r="Z53" i="23"/>
  <c r="Z52" i="23"/>
  <c r="Z51" i="23"/>
  <c r="Z50" i="23"/>
  <c r="Z49" i="23"/>
  <c r="Z48" i="23"/>
  <c r="Z47" i="23"/>
  <c r="Z46" i="23"/>
  <c r="Z45" i="23"/>
  <c r="Z44" i="23"/>
  <c r="Z43" i="23"/>
  <c r="Z42" i="23"/>
  <c r="Z41" i="23"/>
  <c r="Z40" i="23"/>
  <c r="Z39" i="23"/>
  <c r="Z38" i="23"/>
  <c r="Z37" i="23"/>
  <c r="Z36" i="23"/>
  <c r="Z35" i="23"/>
  <c r="Z34" i="23"/>
  <c r="Z33" i="23"/>
  <c r="Z31" i="23"/>
  <c r="Z30" i="23"/>
  <c r="Z29" i="23"/>
  <c r="Z28" i="23"/>
  <c r="Z27" i="23"/>
  <c r="Z26" i="23"/>
  <c r="Z25" i="23"/>
  <c r="Z24" i="23"/>
  <c r="Z23" i="23"/>
  <c r="Z19" i="23"/>
  <c r="Z18" i="23"/>
  <c r="Z17" i="23"/>
  <c r="Z16" i="23"/>
  <c r="Z15" i="23"/>
  <c r="X32" i="24" l="1"/>
  <c r="X56" i="23"/>
  <c r="X55" i="23"/>
  <c r="X54" i="23"/>
  <c r="X53" i="23"/>
  <c r="X52" i="23"/>
  <c r="X51" i="23"/>
  <c r="X50" i="23"/>
  <c r="X49" i="23"/>
  <c r="X48" i="23"/>
  <c r="X47" i="23"/>
  <c r="X46" i="23"/>
  <c r="X45" i="23"/>
  <c r="X44" i="23"/>
  <c r="X43" i="23"/>
  <c r="X42" i="23"/>
  <c r="X41" i="23"/>
  <c r="X40" i="23"/>
  <c r="X39" i="23"/>
  <c r="X38" i="23"/>
  <c r="X37" i="23"/>
  <c r="X36" i="23"/>
  <c r="X35" i="23"/>
  <c r="X34" i="23"/>
  <c r="X33" i="23"/>
  <c r="X31" i="23"/>
  <c r="X30" i="23"/>
  <c r="X29" i="23"/>
  <c r="X28" i="23"/>
  <c r="X27" i="23"/>
  <c r="X26" i="23"/>
  <c r="X25" i="23"/>
  <c r="X23" i="23"/>
  <c r="X19" i="23"/>
  <c r="X18" i="23"/>
  <c r="X17" i="23"/>
  <c r="X16" i="23"/>
  <c r="X15" i="23"/>
  <c r="X32" i="23" l="1"/>
  <c r="V33" i="23"/>
  <c r="V16" i="23"/>
  <c r="V56" i="23"/>
  <c r="V55" i="23"/>
  <c r="V54" i="23"/>
  <c r="V53" i="23"/>
  <c r="V52" i="23"/>
  <c r="V51" i="23"/>
  <c r="V50" i="23"/>
  <c r="V49" i="23"/>
  <c r="V48" i="23"/>
  <c r="V47" i="23"/>
  <c r="V46" i="23"/>
  <c r="V45" i="23"/>
  <c r="V44" i="23"/>
  <c r="V43" i="23"/>
  <c r="V42" i="23"/>
  <c r="V41" i="23"/>
  <c r="V40" i="23"/>
  <c r="V39" i="23"/>
  <c r="V38" i="23"/>
  <c r="V37" i="23"/>
  <c r="V36" i="23"/>
  <c r="V35" i="23"/>
  <c r="V34" i="23"/>
  <c r="V31" i="23"/>
  <c r="V30" i="23"/>
  <c r="V29" i="23"/>
  <c r="V28" i="23"/>
  <c r="V27" i="23"/>
  <c r="V26" i="23"/>
  <c r="V25" i="23"/>
  <c r="V24" i="23"/>
  <c r="V23" i="23"/>
  <c r="V19" i="23"/>
  <c r="V18" i="23"/>
  <c r="V17" i="23"/>
  <c r="V15" i="23"/>
  <c r="R61" i="23" l="1"/>
  <c r="P56" i="23" l="1"/>
  <c r="P55" i="23"/>
  <c r="P54" i="23"/>
  <c r="P53" i="23"/>
  <c r="P52" i="23"/>
  <c r="P51" i="23"/>
  <c r="P50" i="23"/>
  <c r="P49" i="23"/>
  <c r="P48" i="23"/>
  <c r="P47" i="23"/>
  <c r="P46" i="23"/>
  <c r="P45" i="23"/>
  <c r="P44" i="23"/>
  <c r="P43" i="23"/>
  <c r="P42" i="23"/>
  <c r="P41" i="23"/>
  <c r="P40" i="23"/>
  <c r="P39" i="23"/>
  <c r="P38" i="23"/>
  <c r="P37" i="23"/>
  <c r="P36" i="23"/>
  <c r="P35" i="23"/>
  <c r="P34" i="23"/>
  <c r="P33" i="23"/>
  <c r="P31" i="23"/>
  <c r="P30" i="23"/>
  <c r="P29" i="23"/>
  <c r="P28" i="23"/>
  <c r="P27" i="23"/>
  <c r="P26" i="23"/>
  <c r="P25" i="23"/>
  <c r="P24" i="23"/>
  <c r="P19" i="23"/>
  <c r="P18" i="23"/>
  <c r="P17" i="23"/>
  <c r="P16" i="23"/>
  <c r="P15" i="23"/>
  <c r="J33" i="31" l="1"/>
  <c r="N33" i="23"/>
  <c r="N56" i="23"/>
  <c r="N55" i="23"/>
  <c r="N46" i="23"/>
  <c r="N47" i="23"/>
  <c r="N48" i="23"/>
  <c r="N49" i="23"/>
  <c r="N50" i="23"/>
  <c r="N51" i="23"/>
  <c r="N52" i="23"/>
  <c r="N53" i="23"/>
  <c r="N54" i="23"/>
  <c r="N38" i="23"/>
  <c r="N39" i="23"/>
  <c r="N40" i="23"/>
  <c r="N41" i="23"/>
  <c r="N42" i="23"/>
  <c r="N43" i="23"/>
  <c r="N44" i="23"/>
  <c r="N45" i="23"/>
  <c r="N37" i="23"/>
  <c r="N36" i="23"/>
  <c r="N35" i="23"/>
  <c r="N34" i="23"/>
  <c r="N31" i="23"/>
  <c r="N30" i="23"/>
  <c r="N29" i="23"/>
  <c r="N28" i="23"/>
  <c r="N27" i="23"/>
  <c r="N26" i="23"/>
  <c r="N25" i="23"/>
  <c r="N24" i="23"/>
  <c r="N23" i="23"/>
  <c r="N19" i="23"/>
  <c r="N18" i="23"/>
  <c r="N17" i="23"/>
  <c r="N16" i="23"/>
  <c r="N15" i="23"/>
  <c r="N32" i="23" l="1"/>
  <c r="N14" i="23"/>
  <c r="N13" i="23"/>
  <c r="N12" i="23"/>
  <c r="N11" i="23"/>
  <c r="N10" i="23"/>
  <c r="N9" i="23"/>
  <c r="N8" i="23"/>
  <c r="N7" i="23"/>
  <c r="N6" i="23"/>
  <c r="N5" i="23"/>
  <c r="N20" i="23" l="1"/>
  <c r="N21" i="23" s="1"/>
  <c r="L56" i="23" l="1"/>
  <c r="L55" i="23"/>
  <c r="L54" i="23"/>
  <c r="L53" i="23"/>
  <c r="L52" i="23"/>
  <c r="L51" i="23"/>
  <c r="L50" i="23"/>
  <c r="L49" i="23"/>
  <c r="L48" i="23"/>
  <c r="L47" i="23"/>
  <c r="L46" i="23"/>
  <c r="L45" i="23"/>
  <c r="L44" i="23"/>
  <c r="L43" i="23"/>
  <c r="L42" i="23"/>
  <c r="L41" i="23"/>
  <c r="L40" i="23"/>
  <c r="L39" i="23"/>
  <c r="L38" i="23"/>
  <c r="L37" i="23"/>
  <c r="L36" i="23"/>
  <c r="L35" i="23"/>
  <c r="L34" i="23"/>
  <c r="L33" i="23"/>
  <c r="L31" i="23"/>
  <c r="L30" i="23"/>
  <c r="L29" i="23"/>
  <c r="L28" i="23"/>
  <c r="L27" i="23"/>
  <c r="L26" i="23"/>
  <c r="L25" i="23"/>
  <c r="L24" i="23"/>
  <c r="L23" i="23"/>
  <c r="L14" i="23"/>
  <c r="L13" i="23"/>
  <c r="L11" i="23"/>
  <c r="L10" i="23"/>
  <c r="L9" i="23"/>
  <c r="L7" i="23"/>
  <c r="L6" i="23"/>
  <c r="L19" i="23"/>
  <c r="L18" i="23"/>
  <c r="L17" i="23"/>
  <c r="L16" i="23"/>
  <c r="L15" i="23"/>
  <c r="L12" i="23"/>
  <c r="L8" i="23"/>
  <c r="L5" i="23"/>
  <c r="L32" i="23" l="1"/>
  <c r="J61" i="23" l="1"/>
  <c r="H57" i="23"/>
  <c r="H56" i="23"/>
  <c r="H55" i="23"/>
  <c r="H54" i="23"/>
  <c r="H53" i="23"/>
  <c r="H52" i="23"/>
  <c r="H51" i="23"/>
  <c r="H50" i="23"/>
  <c r="H49" i="23"/>
  <c r="H48" i="23"/>
  <c r="H47" i="23"/>
  <c r="H46" i="23"/>
  <c r="H45" i="23"/>
  <c r="H44" i="23"/>
  <c r="H43" i="23"/>
  <c r="H42" i="23"/>
  <c r="H41" i="23"/>
  <c r="H40" i="23"/>
  <c r="H39" i="23"/>
  <c r="H38" i="23"/>
  <c r="H37" i="23"/>
  <c r="H36" i="23"/>
  <c r="H35" i="23"/>
  <c r="H34" i="23"/>
  <c r="H33" i="23"/>
  <c r="H19" i="23"/>
  <c r="H18" i="23"/>
  <c r="H17" i="23"/>
  <c r="H16" i="23"/>
  <c r="H15" i="23"/>
  <c r="H31" i="23"/>
  <c r="H30" i="23"/>
  <c r="H29" i="23"/>
  <c r="H28" i="23"/>
  <c r="H27" i="23"/>
  <c r="H26" i="23"/>
  <c r="H25" i="23"/>
  <c r="H24" i="23"/>
  <c r="H23" i="23"/>
  <c r="H14" i="23"/>
  <c r="H13" i="23"/>
  <c r="H12" i="23"/>
  <c r="H11" i="23"/>
  <c r="H10" i="23"/>
  <c r="H9" i="23"/>
  <c r="H8" i="23"/>
  <c r="H7" i="23"/>
  <c r="H6" i="23"/>
  <c r="H5" i="23"/>
  <c r="H58" i="23" l="1"/>
  <c r="F57" i="23" l="1"/>
  <c r="F56" i="23"/>
  <c r="F55" i="23"/>
  <c r="F54" i="23"/>
  <c r="F53" i="23"/>
  <c r="F52" i="23"/>
  <c r="F51" i="23"/>
  <c r="F50" i="23"/>
  <c r="F49" i="23"/>
  <c r="F48" i="23"/>
  <c r="F47" i="23"/>
  <c r="F46" i="23"/>
  <c r="F45" i="23"/>
  <c r="F44" i="23"/>
  <c r="F43" i="23"/>
  <c r="F42" i="23"/>
  <c r="F41" i="23"/>
  <c r="F40" i="23"/>
  <c r="F39" i="23"/>
  <c r="F38" i="23"/>
  <c r="F37" i="23"/>
  <c r="F36" i="23"/>
  <c r="F35" i="23"/>
  <c r="F34" i="23"/>
  <c r="F33" i="23"/>
  <c r="F19" i="23"/>
  <c r="F18" i="23"/>
  <c r="F17" i="23"/>
  <c r="F16" i="23"/>
  <c r="F15" i="23"/>
  <c r="F58" i="23" l="1"/>
  <c r="F31" i="23" l="1"/>
  <c r="F30" i="23"/>
  <c r="F29" i="23"/>
  <c r="F28" i="23"/>
  <c r="F27" i="23"/>
  <c r="F26" i="23"/>
  <c r="F25" i="23"/>
  <c r="F24" i="23"/>
  <c r="F23" i="23"/>
  <c r="AG56" i="23" l="1"/>
  <c r="AG55" i="23"/>
  <c r="AG54" i="23"/>
  <c r="AG53" i="23"/>
  <c r="AG52" i="23"/>
  <c r="AG51" i="23"/>
  <c r="AG50" i="23"/>
  <c r="AG49" i="23"/>
  <c r="AG48" i="23"/>
  <c r="AG47" i="23"/>
  <c r="AG46" i="23"/>
  <c r="AG45" i="23"/>
  <c r="AG44" i="23"/>
  <c r="AG43" i="23"/>
  <c r="AG42" i="23"/>
  <c r="AG41" i="23"/>
  <c r="AG40" i="23"/>
  <c r="AG39" i="23"/>
  <c r="AG38" i="23"/>
  <c r="AG37" i="23"/>
  <c r="AG36" i="23"/>
  <c r="AG35" i="23"/>
  <c r="AG34" i="23"/>
  <c r="AG33" i="23"/>
  <c r="AG31" i="23"/>
  <c r="AG30" i="23"/>
  <c r="AG29" i="23"/>
  <c r="AG28" i="23"/>
  <c r="AG27" i="23"/>
  <c r="AG26" i="23"/>
  <c r="AG25" i="23"/>
  <c r="AG24" i="23"/>
  <c r="AG23" i="23"/>
  <c r="AG19" i="23"/>
  <c r="AG18" i="23"/>
  <c r="AG17" i="23"/>
  <c r="AG16" i="23"/>
  <c r="AG15" i="23"/>
  <c r="AG14" i="23"/>
  <c r="AG13" i="23"/>
  <c r="AG12" i="23"/>
  <c r="AG11" i="23"/>
  <c r="AG10" i="23"/>
  <c r="AG9" i="23"/>
  <c r="AG8" i="23"/>
  <c r="AG7" i="23"/>
  <c r="AG6" i="23"/>
  <c r="AG5" i="23"/>
  <c r="AE56" i="23"/>
  <c r="AE55" i="23"/>
  <c r="AE54" i="23"/>
  <c r="AE53" i="23"/>
  <c r="AE52" i="23"/>
  <c r="AE51" i="23"/>
  <c r="AE50" i="23"/>
  <c r="AE49" i="23"/>
  <c r="AE48" i="23"/>
  <c r="AE47" i="23"/>
  <c r="AE46" i="23"/>
  <c r="AE45" i="23"/>
  <c r="AE44" i="23"/>
  <c r="AE43" i="23"/>
  <c r="AE42" i="23"/>
  <c r="AE41" i="23"/>
  <c r="AE40" i="23"/>
  <c r="AE39" i="23"/>
  <c r="AE38" i="23"/>
  <c r="AE37" i="23"/>
  <c r="AE36" i="23"/>
  <c r="AE35" i="23"/>
  <c r="AE34" i="23"/>
  <c r="AE33" i="23"/>
  <c r="AE31" i="23"/>
  <c r="AE30" i="23"/>
  <c r="AE29" i="23"/>
  <c r="AE28" i="23"/>
  <c r="AE27" i="23"/>
  <c r="AE26" i="23"/>
  <c r="AE25" i="23"/>
  <c r="AE24" i="23"/>
  <c r="AE23" i="23"/>
  <c r="AE19" i="23"/>
  <c r="AE18" i="23"/>
  <c r="AE17" i="23"/>
  <c r="AE16" i="23"/>
  <c r="AE15" i="23"/>
  <c r="AE14" i="23"/>
  <c r="AE13" i="23"/>
  <c r="AE12" i="23"/>
  <c r="AE11" i="23"/>
  <c r="AE10" i="23"/>
  <c r="AE9" i="23"/>
  <c r="AE8" i="23"/>
  <c r="AE7" i="23"/>
  <c r="AE6" i="23"/>
  <c r="AE5" i="23"/>
  <c r="AC56" i="23"/>
  <c r="AC55" i="23"/>
  <c r="AC54" i="23"/>
  <c r="AC53" i="23"/>
  <c r="AC52" i="23"/>
  <c r="AC51" i="23"/>
  <c r="AC50" i="23"/>
  <c r="AC49" i="23"/>
  <c r="AC48" i="23"/>
  <c r="AC47" i="23"/>
  <c r="AC46" i="23"/>
  <c r="AC45" i="23"/>
  <c r="AC44" i="23"/>
  <c r="AC43" i="23"/>
  <c r="AC42" i="23"/>
  <c r="AC41" i="23"/>
  <c r="AC40" i="23"/>
  <c r="AC39" i="23"/>
  <c r="AC38" i="23"/>
  <c r="AC37" i="23"/>
  <c r="AC36" i="23"/>
  <c r="AC35" i="23"/>
  <c r="AC34" i="23"/>
  <c r="AC33" i="23"/>
  <c r="AC31" i="23"/>
  <c r="AC30" i="23"/>
  <c r="AC29" i="23"/>
  <c r="AC28" i="23"/>
  <c r="AC27" i="23"/>
  <c r="AC26" i="23"/>
  <c r="AC25" i="23"/>
  <c r="AC24" i="23"/>
  <c r="AC23" i="23"/>
  <c r="AC19" i="23"/>
  <c r="AC18" i="23"/>
  <c r="AC17" i="23"/>
  <c r="AC16" i="23"/>
  <c r="AC15" i="23"/>
  <c r="AC14" i="23"/>
  <c r="AC13" i="23"/>
  <c r="AC12" i="23"/>
  <c r="AC11" i="23"/>
  <c r="AC10" i="23"/>
  <c r="AC9" i="23"/>
  <c r="AC8" i="23"/>
  <c r="AC7" i="23"/>
  <c r="AC6" i="23"/>
  <c r="AC5" i="23"/>
  <c r="Y56" i="23"/>
  <c r="Y55" i="23"/>
  <c r="Y54" i="23"/>
  <c r="Y53" i="23"/>
  <c r="Y52" i="23"/>
  <c r="Y51" i="23"/>
  <c r="Y50" i="23"/>
  <c r="Y49" i="23"/>
  <c r="Y48" i="23"/>
  <c r="Y47" i="23"/>
  <c r="Y46" i="23"/>
  <c r="Y45" i="23"/>
  <c r="Y44" i="23"/>
  <c r="Y43" i="23"/>
  <c r="Y42" i="23"/>
  <c r="Y41" i="23"/>
  <c r="Y40" i="23"/>
  <c r="Y39" i="23"/>
  <c r="Y38" i="23"/>
  <c r="Y37" i="23"/>
  <c r="Y36" i="23"/>
  <c r="Y35" i="23"/>
  <c r="Y34" i="23"/>
  <c r="Y33" i="23"/>
  <c r="Y31" i="23"/>
  <c r="Y30" i="23"/>
  <c r="Y29" i="23"/>
  <c r="Y28" i="23"/>
  <c r="Y27" i="23"/>
  <c r="Y26" i="23"/>
  <c r="Y25" i="23"/>
  <c r="Y24" i="23"/>
  <c r="Y23" i="23"/>
  <c r="Y19" i="23"/>
  <c r="Y18" i="23"/>
  <c r="Y17" i="23"/>
  <c r="Y16" i="23"/>
  <c r="Y15" i="23"/>
  <c r="Y14" i="23"/>
  <c r="Y13" i="23"/>
  <c r="Y12" i="23"/>
  <c r="Y11" i="23"/>
  <c r="Y10" i="23"/>
  <c r="Y9" i="23"/>
  <c r="Y8" i="23"/>
  <c r="Y7" i="23"/>
  <c r="Y6" i="23"/>
  <c r="Y5" i="23"/>
  <c r="W56" i="23"/>
  <c r="W55" i="23"/>
  <c r="W54" i="23"/>
  <c r="W53" i="23"/>
  <c r="W52" i="23"/>
  <c r="W51" i="23"/>
  <c r="W50" i="23"/>
  <c r="W49" i="23"/>
  <c r="W48" i="23"/>
  <c r="W47" i="23"/>
  <c r="W46" i="23"/>
  <c r="W45" i="23"/>
  <c r="W44" i="23"/>
  <c r="W43" i="23"/>
  <c r="W42" i="23"/>
  <c r="W41" i="23"/>
  <c r="W40" i="23"/>
  <c r="W39" i="23"/>
  <c r="W38" i="23"/>
  <c r="W37" i="23"/>
  <c r="W36" i="23"/>
  <c r="W35" i="23"/>
  <c r="W34" i="23"/>
  <c r="W33" i="23"/>
  <c r="W31" i="23"/>
  <c r="W30" i="23"/>
  <c r="W29" i="23"/>
  <c r="W28" i="23"/>
  <c r="W27" i="23"/>
  <c r="W26" i="23"/>
  <c r="W25" i="23"/>
  <c r="W24" i="23"/>
  <c r="W23" i="23"/>
  <c r="W19" i="23"/>
  <c r="W18" i="23"/>
  <c r="W17" i="23"/>
  <c r="W16" i="23"/>
  <c r="W15" i="23"/>
  <c r="W14" i="23"/>
  <c r="W13" i="23"/>
  <c r="W12" i="23"/>
  <c r="W11" i="23"/>
  <c r="W10" i="23"/>
  <c r="W9" i="23"/>
  <c r="W8" i="23"/>
  <c r="W7" i="23"/>
  <c r="W6" i="23"/>
  <c r="W5" i="23"/>
  <c r="U56" i="23"/>
  <c r="U55" i="23"/>
  <c r="U54" i="23"/>
  <c r="U53" i="23"/>
  <c r="U52" i="23"/>
  <c r="U51" i="23"/>
  <c r="U50" i="23"/>
  <c r="U49" i="23"/>
  <c r="U48" i="23"/>
  <c r="U47" i="23"/>
  <c r="U46" i="23"/>
  <c r="U45" i="23"/>
  <c r="U44" i="23"/>
  <c r="U43" i="23"/>
  <c r="U42" i="23"/>
  <c r="U41" i="23"/>
  <c r="U40" i="23"/>
  <c r="U39" i="23"/>
  <c r="U38" i="23"/>
  <c r="U37" i="23"/>
  <c r="U36" i="23"/>
  <c r="U35" i="23"/>
  <c r="U34" i="23"/>
  <c r="U33" i="23"/>
  <c r="U31" i="23"/>
  <c r="U30" i="23"/>
  <c r="U29" i="23"/>
  <c r="U28" i="23"/>
  <c r="U27" i="23"/>
  <c r="U26" i="23"/>
  <c r="U25" i="23"/>
  <c r="U24" i="23"/>
  <c r="U23" i="23"/>
  <c r="U19" i="23"/>
  <c r="U18" i="23"/>
  <c r="U17" i="23"/>
  <c r="U16" i="23"/>
  <c r="U15" i="23"/>
  <c r="U14" i="23"/>
  <c r="U13" i="23"/>
  <c r="U12" i="23"/>
  <c r="U11" i="23"/>
  <c r="U10" i="23"/>
  <c r="U9" i="23"/>
  <c r="U8" i="23"/>
  <c r="U7" i="23"/>
  <c r="U6" i="23"/>
  <c r="U5" i="23"/>
  <c r="O56" i="23"/>
  <c r="O55" i="23"/>
  <c r="O54" i="23"/>
  <c r="O53" i="23"/>
  <c r="O52" i="23"/>
  <c r="O51" i="23"/>
  <c r="O50" i="23"/>
  <c r="O49" i="23"/>
  <c r="O48" i="23"/>
  <c r="O47" i="23"/>
  <c r="O46" i="23"/>
  <c r="O45" i="23"/>
  <c r="O44" i="23"/>
  <c r="O43" i="23"/>
  <c r="O42" i="23"/>
  <c r="O41" i="23"/>
  <c r="O40" i="23"/>
  <c r="O39" i="23"/>
  <c r="O38" i="23"/>
  <c r="O37" i="23"/>
  <c r="O36" i="23"/>
  <c r="O35" i="23"/>
  <c r="O34" i="23"/>
  <c r="O33" i="23"/>
  <c r="O31" i="23"/>
  <c r="O30" i="23"/>
  <c r="O29" i="23"/>
  <c r="O28" i="23"/>
  <c r="O27" i="23"/>
  <c r="O26" i="23"/>
  <c r="O25" i="23"/>
  <c r="O24" i="23"/>
  <c r="O23" i="23"/>
  <c r="O19" i="23"/>
  <c r="O18" i="23"/>
  <c r="O17" i="23"/>
  <c r="O16" i="23"/>
  <c r="O15" i="23"/>
  <c r="O14" i="23"/>
  <c r="O13" i="23"/>
  <c r="O12" i="23"/>
  <c r="O11" i="23"/>
  <c r="O10" i="23"/>
  <c r="O9" i="23"/>
  <c r="O8" i="23"/>
  <c r="O7" i="23"/>
  <c r="O6" i="23"/>
  <c r="O5" i="23"/>
  <c r="M56" i="23"/>
  <c r="M55" i="23"/>
  <c r="M54" i="23"/>
  <c r="M53" i="23"/>
  <c r="M52" i="23"/>
  <c r="M51" i="23"/>
  <c r="M50" i="23"/>
  <c r="M49" i="23"/>
  <c r="M48" i="23"/>
  <c r="M47" i="23"/>
  <c r="M46" i="23"/>
  <c r="M45" i="23"/>
  <c r="M44" i="23"/>
  <c r="M43" i="23"/>
  <c r="M42" i="23"/>
  <c r="M41" i="23"/>
  <c r="M40" i="23"/>
  <c r="M39" i="23"/>
  <c r="M38" i="23"/>
  <c r="M37" i="23"/>
  <c r="M36" i="23"/>
  <c r="M35" i="23"/>
  <c r="M34" i="23"/>
  <c r="M33" i="23"/>
  <c r="M31" i="23"/>
  <c r="M30" i="23"/>
  <c r="M29" i="23"/>
  <c r="M28" i="23"/>
  <c r="M27" i="23"/>
  <c r="M26" i="23"/>
  <c r="M25" i="23"/>
  <c r="M24" i="23"/>
  <c r="M23" i="23"/>
  <c r="M19" i="23"/>
  <c r="M18" i="23"/>
  <c r="M17" i="23"/>
  <c r="M16" i="23"/>
  <c r="M15" i="23"/>
  <c r="M14" i="23"/>
  <c r="M13" i="23"/>
  <c r="M12" i="23"/>
  <c r="M11" i="23"/>
  <c r="M10" i="23"/>
  <c r="M9" i="23"/>
  <c r="M8" i="23"/>
  <c r="M7" i="23"/>
  <c r="M6" i="23"/>
  <c r="M5" i="23"/>
  <c r="K56" i="23"/>
  <c r="K55" i="23"/>
  <c r="K54" i="23"/>
  <c r="K53" i="23"/>
  <c r="K52" i="23"/>
  <c r="K51" i="23"/>
  <c r="K50" i="23"/>
  <c r="K49" i="23"/>
  <c r="K48" i="23"/>
  <c r="K47" i="23"/>
  <c r="K46" i="23"/>
  <c r="K45" i="23"/>
  <c r="K44" i="23"/>
  <c r="K43" i="23"/>
  <c r="K42" i="23"/>
  <c r="K41" i="23"/>
  <c r="K40" i="23"/>
  <c r="K39" i="23"/>
  <c r="K38" i="23"/>
  <c r="K37" i="23"/>
  <c r="K36" i="23"/>
  <c r="K35" i="23"/>
  <c r="K34" i="23"/>
  <c r="K33" i="23"/>
  <c r="K31" i="23"/>
  <c r="K30" i="23"/>
  <c r="K29" i="23"/>
  <c r="K28" i="23"/>
  <c r="K27" i="23"/>
  <c r="K26" i="23"/>
  <c r="K25" i="23"/>
  <c r="K24" i="23"/>
  <c r="K23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AJ56" i="24"/>
  <c r="AI56" i="24"/>
  <c r="K32" i="20"/>
  <c r="AJ54" i="20"/>
  <c r="AI54" i="20"/>
  <c r="AK54" i="20" s="1"/>
  <c r="AJ53" i="20"/>
  <c r="AI53" i="20"/>
  <c r="AJ52" i="20"/>
  <c r="AL52" i="20" s="1"/>
  <c r="AI52" i="20"/>
  <c r="AJ51" i="20"/>
  <c r="AI51" i="20"/>
  <c r="AJ50" i="20"/>
  <c r="AI50" i="20"/>
  <c r="AK50" i="20" s="1"/>
  <c r="AJ49" i="20"/>
  <c r="AI49" i="20"/>
  <c r="AJ48" i="20"/>
  <c r="AI48" i="20"/>
  <c r="AK48" i="20" s="1"/>
  <c r="AJ47" i="20"/>
  <c r="AI47" i="20"/>
  <c r="AJ46" i="20"/>
  <c r="AI46" i="20"/>
  <c r="AK46" i="20" s="1"/>
  <c r="AJ45" i="20"/>
  <c r="AI45" i="20"/>
  <c r="AJ44" i="20"/>
  <c r="AL44" i="20" s="1"/>
  <c r="AI44" i="20"/>
  <c r="AJ43" i="20"/>
  <c r="AI43" i="20"/>
  <c r="AJ42" i="20"/>
  <c r="AL42" i="20" s="1"/>
  <c r="AI42" i="20"/>
  <c r="AK42" i="20" s="1"/>
  <c r="AJ41" i="20"/>
  <c r="AI41" i="20"/>
  <c r="AJ40" i="20"/>
  <c r="AI40" i="20"/>
  <c r="AK40" i="20" s="1"/>
  <c r="AJ39" i="20"/>
  <c r="AI39" i="20"/>
  <c r="AJ38" i="20"/>
  <c r="AL38" i="20" s="1"/>
  <c r="AI38" i="20"/>
  <c r="AK38" i="20" s="1"/>
  <c r="AJ37" i="20"/>
  <c r="AI37" i="20"/>
  <c r="AJ36" i="20"/>
  <c r="AL36" i="20" s="1"/>
  <c r="AI36" i="20"/>
  <c r="AJ35" i="20"/>
  <c r="AI35" i="20"/>
  <c r="AJ34" i="20"/>
  <c r="AL34" i="20" s="1"/>
  <c r="AI34" i="20"/>
  <c r="AJ33" i="20"/>
  <c r="AI33" i="20"/>
  <c r="AB57" i="19"/>
  <c r="AA57" i="19"/>
  <c r="AB56" i="19"/>
  <c r="AA56" i="19"/>
  <c r="AB55" i="19"/>
  <c r="AA55" i="19"/>
  <c r="AB54" i="19"/>
  <c r="AA54" i="19"/>
  <c r="AB53" i="19"/>
  <c r="AA53" i="19"/>
  <c r="AB52" i="19"/>
  <c r="AA52" i="19"/>
  <c r="AB51" i="19"/>
  <c r="AA51" i="19"/>
  <c r="AB50" i="19"/>
  <c r="AA50" i="19"/>
  <c r="AB49" i="19"/>
  <c r="AA49" i="19"/>
  <c r="AB48" i="19"/>
  <c r="AA48" i="19"/>
  <c r="AB47" i="19"/>
  <c r="AA47" i="19"/>
  <c r="AB46" i="19"/>
  <c r="AA46" i="19"/>
  <c r="AB45" i="19"/>
  <c r="AA45" i="19"/>
  <c r="AB44" i="19"/>
  <c r="AA44" i="19"/>
  <c r="AB43" i="19"/>
  <c r="AA43" i="19"/>
  <c r="AB42" i="19"/>
  <c r="AA42" i="19"/>
  <c r="AB41" i="19"/>
  <c r="AA41" i="19"/>
  <c r="AB40" i="19"/>
  <c r="AA40" i="19"/>
  <c r="AB39" i="19"/>
  <c r="AA39" i="19"/>
  <c r="AB38" i="19"/>
  <c r="AA38" i="19"/>
  <c r="AB37" i="19"/>
  <c r="AA37" i="19"/>
  <c r="AB36" i="19"/>
  <c r="AA36" i="19"/>
  <c r="AB35" i="19"/>
  <c r="AA35" i="19"/>
  <c r="AB34" i="19"/>
  <c r="AA34" i="19"/>
  <c r="AB33" i="19"/>
  <c r="AA33" i="19"/>
  <c r="R57" i="19"/>
  <c r="Q57" i="19"/>
  <c r="R56" i="19"/>
  <c r="T56" i="19" s="1"/>
  <c r="Q56" i="19"/>
  <c r="S56" i="19" s="1"/>
  <c r="R55" i="19"/>
  <c r="Q55" i="19"/>
  <c r="AB54" i="12"/>
  <c r="AA54" i="12"/>
  <c r="AB53" i="12"/>
  <c r="AA53" i="12"/>
  <c r="AB52" i="12"/>
  <c r="AA52" i="12"/>
  <c r="AB51" i="12"/>
  <c r="AA51" i="12"/>
  <c r="AB50" i="12"/>
  <c r="AA50" i="12"/>
  <c r="AB49" i="12"/>
  <c r="AA49" i="12"/>
  <c r="AB48" i="12"/>
  <c r="AA48" i="12"/>
  <c r="AB47" i="12"/>
  <c r="AA47" i="12"/>
  <c r="AB46" i="12"/>
  <c r="AA46" i="12"/>
  <c r="AB45" i="12"/>
  <c r="AA45" i="12"/>
  <c r="AB44" i="12"/>
  <c r="AA44" i="12"/>
  <c r="AB43" i="12"/>
  <c r="AA43" i="12"/>
  <c r="AB42" i="12"/>
  <c r="AA42" i="12"/>
  <c r="AB41" i="12"/>
  <c r="AA41" i="12"/>
  <c r="AB40" i="12"/>
  <c r="AA40" i="12"/>
  <c r="AB39" i="12"/>
  <c r="AA39" i="12"/>
  <c r="AB38" i="12"/>
  <c r="AA38" i="12"/>
  <c r="AB37" i="12"/>
  <c r="AA37" i="12"/>
  <c r="AB36" i="12"/>
  <c r="AA36" i="12"/>
  <c r="AB35" i="12"/>
  <c r="AA35" i="12"/>
  <c r="AB34" i="12"/>
  <c r="AA34" i="12"/>
  <c r="AB33" i="12"/>
  <c r="AA33" i="12"/>
  <c r="AG20" i="23" l="1"/>
  <c r="AG21" i="23" s="1"/>
  <c r="AK34" i="20"/>
  <c r="AK56" i="24"/>
  <c r="AL37" i="20"/>
  <c r="AL39" i="20"/>
  <c r="AL47" i="20"/>
  <c r="AL51" i="20"/>
  <c r="AL53" i="20"/>
  <c r="O32" i="23"/>
  <c r="AC32" i="23"/>
  <c r="K20" i="23"/>
  <c r="K21" i="23" s="1"/>
  <c r="AL48" i="20"/>
  <c r="AL50" i="20"/>
  <c r="AL40" i="20"/>
  <c r="AL46" i="20"/>
  <c r="AL56" i="24"/>
  <c r="AL33" i="20"/>
  <c r="AL54" i="20"/>
  <c r="AL43" i="20"/>
  <c r="AL35" i="20"/>
  <c r="AL45" i="20"/>
  <c r="AL49" i="20"/>
  <c r="AL41" i="20"/>
  <c r="AE20" i="23"/>
  <c r="AE21" i="23" s="1"/>
  <c r="AC20" i="23"/>
  <c r="AC21" i="23" s="1"/>
  <c r="Y20" i="23"/>
  <c r="Y21" i="23" s="1"/>
  <c r="W20" i="23"/>
  <c r="W21" i="23" s="1"/>
  <c r="U20" i="23"/>
  <c r="U21" i="23" s="1"/>
  <c r="O20" i="23"/>
  <c r="O21" i="23" s="1"/>
  <c r="M20" i="23"/>
  <c r="M21" i="23" s="1"/>
  <c r="U32" i="23"/>
  <c r="AE32" i="23"/>
  <c r="K32" i="23"/>
  <c r="W32" i="23"/>
  <c r="M32" i="23"/>
  <c r="Y32" i="23"/>
  <c r="AG32" i="23"/>
  <c r="AK36" i="20"/>
  <c r="AK44" i="20"/>
  <c r="AK52" i="20"/>
  <c r="AK35" i="20"/>
  <c r="AK39" i="20"/>
  <c r="AK43" i="20"/>
  <c r="AK47" i="20"/>
  <c r="AK51" i="20"/>
  <c r="AK37" i="20"/>
  <c r="AK41" i="20"/>
  <c r="AK45" i="20"/>
  <c r="AK49" i="20"/>
  <c r="AK53" i="20"/>
  <c r="AK33" i="20"/>
  <c r="AG22" i="23" l="1"/>
  <c r="AE22" i="23"/>
  <c r="AC22" i="23"/>
  <c r="Y22" i="23"/>
  <c r="W22" i="23"/>
  <c r="U22" i="23"/>
  <c r="O22" i="23"/>
  <c r="M22" i="23"/>
  <c r="K22" i="23"/>
  <c r="J56" i="31" l="1"/>
  <c r="I56" i="31"/>
  <c r="F14" i="23"/>
  <c r="F13" i="23"/>
  <c r="F12" i="23"/>
  <c r="F11" i="23"/>
  <c r="F10" i="23"/>
  <c r="F9" i="23"/>
  <c r="F8" i="23"/>
  <c r="F7" i="23"/>
  <c r="F6" i="23"/>
  <c r="F5" i="23"/>
  <c r="G56" i="23" l="1"/>
  <c r="G54" i="23" l="1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E54" i="23"/>
  <c r="E53" i="23"/>
  <c r="E52" i="23"/>
  <c r="E51" i="23"/>
  <c r="E50" i="23"/>
  <c r="E49" i="23"/>
  <c r="E48" i="23"/>
  <c r="E47" i="23"/>
  <c r="E46" i="23"/>
  <c r="E45" i="23"/>
  <c r="E44" i="23"/>
  <c r="E43" i="23"/>
  <c r="E42" i="23"/>
  <c r="E41" i="23"/>
  <c r="E40" i="23"/>
  <c r="E39" i="23"/>
  <c r="E38" i="23"/>
  <c r="E37" i="23"/>
  <c r="E36" i="23"/>
  <c r="E35" i="23"/>
  <c r="E34" i="23"/>
  <c r="E33" i="23"/>
  <c r="G31" i="23"/>
  <c r="G30" i="23"/>
  <c r="G29" i="23"/>
  <c r="G28" i="23"/>
  <c r="G27" i="23"/>
  <c r="G26" i="23"/>
  <c r="G25" i="23"/>
  <c r="G24" i="23"/>
  <c r="G23" i="23"/>
  <c r="E31" i="23"/>
  <c r="E30" i="23"/>
  <c r="E29" i="23"/>
  <c r="E28" i="23"/>
  <c r="E27" i="23"/>
  <c r="E26" i="23"/>
  <c r="E25" i="23"/>
  <c r="E24" i="23"/>
  <c r="E23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E19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E6" i="23"/>
  <c r="E5" i="23"/>
  <c r="G55" i="23"/>
  <c r="E56" i="23"/>
  <c r="E55" i="23"/>
  <c r="C56" i="23"/>
  <c r="D58" i="24"/>
  <c r="D56" i="23"/>
  <c r="C58" i="31"/>
  <c r="I56" i="23" l="1"/>
  <c r="G58" i="19" l="1"/>
  <c r="I13" i="24" l="1"/>
  <c r="S57" i="20"/>
  <c r="I57" i="19"/>
  <c r="S57" i="19" s="1"/>
  <c r="I55" i="19"/>
  <c r="S55" i="19" s="1"/>
  <c r="I54" i="19"/>
  <c r="I53" i="19"/>
  <c r="I52" i="19"/>
  <c r="I51" i="19"/>
  <c r="I50" i="19"/>
  <c r="I49" i="19"/>
  <c r="I48" i="19"/>
  <c r="I47" i="19"/>
  <c r="I46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29" i="19"/>
  <c r="I31" i="19"/>
  <c r="I58" i="20" l="1"/>
  <c r="I58" i="19"/>
  <c r="J19" i="24" l="1"/>
  <c r="J57" i="19"/>
  <c r="T57" i="19" s="1"/>
  <c r="J55" i="19"/>
  <c r="T55" i="19" s="1"/>
  <c r="J54" i="19"/>
  <c r="T54" i="19" s="1"/>
  <c r="J53" i="19"/>
  <c r="T53" i="19" s="1"/>
  <c r="J52" i="19"/>
  <c r="T52" i="19" s="1"/>
  <c r="J51" i="19"/>
  <c r="T51" i="19" s="1"/>
  <c r="J50" i="19"/>
  <c r="T50" i="19" s="1"/>
  <c r="J49" i="19"/>
  <c r="T49" i="19" s="1"/>
  <c r="J48" i="19"/>
  <c r="T48" i="19" s="1"/>
  <c r="J47" i="19"/>
  <c r="T47" i="19" s="1"/>
  <c r="J46" i="19"/>
  <c r="T46" i="19" s="1"/>
  <c r="J45" i="19"/>
  <c r="T45" i="19" s="1"/>
  <c r="J44" i="19"/>
  <c r="T44" i="19" s="1"/>
  <c r="J43" i="19"/>
  <c r="T43" i="19" s="1"/>
  <c r="J42" i="19"/>
  <c r="T42" i="19" s="1"/>
  <c r="J41" i="19"/>
  <c r="T41" i="19" s="1"/>
  <c r="J40" i="19"/>
  <c r="T40" i="19" s="1"/>
  <c r="J39" i="19"/>
  <c r="T39" i="19" s="1"/>
  <c r="J38" i="19"/>
  <c r="T38" i="19" s="1"/>
  <c r="J37" i="19"/>
  <c r="T37" i="19" s="1"/>
  <c r="J36" i="19"/>
  <c r="T36" i="19" s="1"/>
  <c r="J35" i="19"/>
  <c r="T35" i="19" s="1"/>
  <c r="J34" i="19"/>
  <c r="T34" i="19" s="1"/>
  <c r="J33" i="19"/>
  <c r="T33" i="19" s="1"/>
  <c r="J31" i="19"/>
  <c r="T31" i="19" s="1"/>
  <c r="J11" i="31" l="1"/>
  <c r="O127" i="32"/>
  <c r="O125" i="32"/>
  <c r="O124" i="32"/>
  <c r="O123" i="32"/>
  <c r="O122" i="32"/>
  <c r="O121" i="32"/>
  <c r="O120" i="32"/>
  <c r="O119" i="32"/>
  <c r="O118" i="32"/>
  <c r="O117" i="32"/>
  <c r="O116" i="32"/>
  <c r="O113" i="32"/>
  <c r="O111" i="32"/>
  <c r="O110" i="32"/>
  <c r="O109" i="32"/>
  <c r="O108" i="32"/>
  <c r="O107" i="32"/>
  <c r="O106" i="32"/>
  <c r="O105" i="32"/>
  <c r="O104" i="32"/>
  <c r="O103" i="32"/>
  <c r="O102" i="32"/>
  <c r="N101" i="32"/>
  <c r="M101" i="32"/>
  <c r="L101" i="32"/>
  <c r="K101" i="32"/>
  <c r="J101" i="32"/>
  <c r="I101" i="32"/>
  <c r="H101" i="32"/>
  <c r="N100" i="32"/>
  <c r="M100" i="32"/>
  <c r="L100" i="32"/>
  <c r="K100" i="32"/>
  <c r="J100" i="32"/>
  <c r="I100" i="32"/>
  <c r="H100" i="32"/>
  <c r="O99" i="32"/>
  <c r="O97" i="32"/>
  <c r="O96" i="32"/>
  <c r="O95" i="32"/>
  <c r="O94" i="32"/>
  <c r="O93" i="32"/>
  <c r="O92" i="32"/>
  <c r="O91" i="32"/>
  <c r="O90" i="32"/>
  <c r="O89" i="32"/>
  <c r="O88" i="32"/>
  <c r="N87" i="32"/>
  <c r="M87" i="32"/>
  <c r="L87" i="32"/>
  <c r="K87" i="32"/>
  <c r="J87" i="32"/>
  <c r="I87" i="32"/>
  <c r="H87" i="32"/>
  <c r="N86" i="32"/>
  <c r="M86" i="32"/>
  <c r="L86" i="32"/>
  <c r="K86" i="32"/>
  <c r="J86" i="32"/>
  <c r="I86" i="32"/>
  <c r="H86" i="32"/>
  <c r="O85" i="32"/>
  <c r="O83" i="32"/>
  <c r="O82" i="32"/>
  <c r="O81" i="32"/>
  <c r="O80" i="32"/>
  <c r="O79" i="32"/>
  <c r="O78" i="32"/>
  <c r="O77" i="32"/>
  <c r="O76" i="32"/>
  <c r="O75" i="32"/>
  <c r="O74" i="32"/>
  <c r="N73" i="32"/>
  <c r="M73" i="32"/>
  <c r="L73" i="32"/>
  <c r="K73" i="32"/>
  <c r="J73" i="32"/>
  <c r="I73" i="32"/>
  <c r="H73" i="32"/>
  <c r="N72" i="32"/>
  <c r="M72" i="32"/>
  <c r="L72" i="32"/>
  <c r="K72" i="32"/>
  <c r="J72" i="32"/>
  <c r="I72" i="32"/>
  <c r="H72" i="32"/>
  <c r="O71" i="32"/>
  <c r="O69" i="32"/>
  <c r="O68" i="32"/>
  <c r="O67" i="32"/>
  <c r="O66" i="32"/>
  <c r="O65" i="32"/>
  <c r="O64" i="32"/>
  <c r="O63" i="32"/>
  <c r="O62" i="32"/>
  <c r="O61" i="32"/>
  <c r="O60" i="32"/>
  <c r="N59" i="32"/>
  <c r="M59" i="32"/>
  <c r="L59" i="32"/>
  <c r="K59" i="32"/>
  <c r="J59" i="32"/>
  <c r="I59" i="32"/>
  <c r="H59" i="32"/>
  <c r="N58" i="32"/>
  <c r="M58" i="32"/>
  <c r="L58" i="32"/>
  <c r="K58" i="32"/>
  <c r="J58" i="32"/>
  <c r="I58" i="32"/>
  <c r="H58" i="32"/>
  <c r="O57" i="32"/>
  <c r="O55" i="32"/>
  <c r="O54" i="32"/>
  <c r="O53" i="32"/>
  <c r="O52" i="32"/>
  <c r="O51" i="32"/>
  <c r="O50" i="32"/>
  <c r="O49" i="32"/>
  <c r="O48" i="32"/>
  <c r="O47" i="32"/>
  <c r="O46" i="32"/>
  <c r="N45" i="32"/>
  <c r="M45" i="32"/>
  <c r="L45" i="32"/>
  <c r="K45" i="32"/>
  <c r="J45" i="32"/>
  <c r="I45" i="32"/>
  <c r="H45" i="32"/>
  <c r="N44" i="32"/>
  <c r="M44" i="32"/>
  <c r="L44" i="32"/>
  <c r="K44" i="32"/>
  <c r="J44" i="32"/>
  <c r="I44" i="32"/>
  <c r="H44" i="32"/>
  <c r="O43" i="32"/>
  <c r="O41" i="32"/>
  <c r="O40" i="32"/>
  <c r="O39" i="32"/>
  <c r="O38" i="32"/>
  <c r="O37" i="32"/>
  <c r="O36" i="32"/>
  <c r="O35" i="32"/>
  <c r="O34" i="32"/>
  <c r="O33" i="32"/>
  <c r="O32" i="32"/>
  <c r="N31" i="32"/>
  <c r="M31" i="32"/>
  <c r="L31" i="32"/>
  <c r="K31" i="32"/>
  <c r="J31" i="32"/>
  <c r="I31" i="32"/>
  <c r="H31" i="32"/>
  <c r="N30" i="32"/>
  <c r="M30" i="32"/>
  <c r="L30" i="32"/>
  <c r="K30" i="32"/>
  <c r="J30" i="32"/>
  <c r="I30" i="32"/>
  <c r="H30" i="32"/>
  <c r="O29" i="32"/>
  <c r="O27" i="32"/>
  <c r="O26" i="32"/>
  <c r="O25" i="32"/>
  <c r="O24" i="32"/>
  <c r="O23" i="32"/>
  <c r="O22" i="32"/>
  <c r="O21" i="32"/>
  <c r="O20" i="32"/>
  <c r="O19" i="32"/>
  <c r="O18" i="32"/>
  <c r="N17" i="32"/>
  <c r="M17" i="32"/>
  <c r="L17" i="32"/>
  <c r="K17" i="32"/>
  <c r="J17" i="32"/>
  <c r="I17" i="32"/>
  <c r="H17" i="32"/>
  <c r="N16" i="32"/>
  <c r="M16" i="32"/>
  <c r="L16" i="32"/>
  <c r="K16" i="32"/>
  <c r="J16" i="32"/>
  <c r="I16" i="32"/>
  <c r="H16" i="32"/>
  <c r="C16" i="32"/>
  <c r="C17" i="32" s="1"/>
  <c r="O15" i="32"/>
  <c r="O13" i="32"/>
  <c r="O12" i="32"/>
  <c r="O11" i="32"/>
  <c r="O10" i="32"/>
  <c r="O9" i="32"/>
  <c r="O8" i="32"/>
  <c r="O7" i="32"/>
  <c r="O6" i="32"/>
  <c r="O5" i="32"/>
  <c r="O4" i="32"/>
  <c r="O100" i="32" l="1"/>
  <c r="O101" i="32" s="1"/>
  <c r="O58" i="32"/>
  <c r="O59" i="32" s="1"/>
  <c r="O114" i="32"/>
  <c r="O115" i="32" s="1"/>
  <c r="O44" i="32"/>
  <c r="O45" i="32" s="1"/>
  <c r="O16" i="32"/>
  <c r="O17" i="32" s="1"/>
  <c r="O30" i="32"/>
  <c r="O31" i="32" s="1"/>
  <c r="O86" i="32"/>
  <c r="O87" i="32" s="1"/>
  <c r="O72" i="32"/>
  <c r="O73" i="32" s="1"/>
  <c r="O128" i="32"/>
  <c r="O129" i="32" s="1"/>
  <c r="D57" i="23" l="1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1" i="23"/>
  <c r="D30" i="23"/>
  <c r="D29" i="23"/>
  <c r="D28" i="23"/>
  <c r="D27" i="23"/>
  <c r="D26" i="23"/>
  <c r="D25" i="23"/>
  <c r="D24" i="23"/>
  <c r="D23" i="23"/>
  <c r="D19" i="23"/>
  <c r="D18" i="23"/>
  <c r="D17" i="23"/>
  <c r="D16" i="23"/>
  <c r="D15" i="23"/>
  <c r="C55" i="23" l="1"/>
  <c r="C54" i="23"/>
  <c r="C53" i="23"/>
  <c r="C52" i="23"/>
  <c r="C51" i="23"/>
  <c r="C50" i="23"/>
  <c r="C49" i="23"/>
  <c r="C48" i="23"/>
  <c r="C47" i="23"/>
  <c r="C46" i="23"/>
  <c r="C45" i="23"/>
  <c r="C44" i="23"/>
  <c r="C43" i="23"/>
  <c r="C42" i="23"/>
  <c r="C41" i="23"/>
  <c r="C40" i="23"/>
  <c r="C39" i="23"/>
  <c r="C38" i="23"/>
  <c r="C37" i="23"/>
  <c r="C36" i="23"/>
  <c r="C35" i="23"/>
  <c r="C34" i="23"/>
  <c r="C33" i="23"/>
  <c r="C31" i="23"/>
  <c r="C30" i="23"/>
  <c r="C29" i="23"/>
  <c r="C28" i="23"/>
  <c r="I28" i="23" s="1"/>
  <c r="C27" i="23"/>
  <c r="C26" i="23"/>
  <c r="C25" i="23"/>
  <c r="C24" i="23"/>
  <c r="C23" i="23"/>
  <c r="I23" i="23" s="1"/>
  <c r="C19" i="23"/>
  <c r="C18" i="23"/>
  <c r="C17" i="23"/>
  <c r="C16" i="23"/>
  <c r="C15" i="23"/>
  <c r="C14" i="23"/>
  <c r="C13" i="23"/>
  <c r="C12" i="23"/>
  <c r="C11" i="23"/>
  <c r="I11" i="23" s="1"/>
  <c r="C10" i="23"/>
  <c r="C9" i="23"/>
  <c r="C8" i="23"/>
  <c r="C7" i="23"/>
  <c r="C6" i="23"/>
  <c r="C5" i="23"/>
  <c r="I5" i="23" s="1"/>
  <c r="AH63" i="31"/>
  <c r="AG63" i="31"/>
  <c r="AF63" i="31"/>
  <c r="AE63" i="31"/>
  <c r="AD63" i="31"/>
  <c r="AC63" i="31"/>
  <c r="Z63" i="31"/>
  <c r="Y63" i="31"/>
  <c r="X63" i="31"/>
  <c r="W63" i="31"/>
  <c r="V63" i="31"/>
  <c r="U63" i="31"/>
  <c r="P63" i="31"/>
  <c r="O63" i="31"/>
  <c r="N63" i="31"/>
  <c r="M63" i="31"/>
  <c r="L63" i="31"/>
  <c r="K63" i="31"/>
  <c r="H63" i="31"/>
  <c r="G63" i="31"/>
  <c r="F63" i="31"/>
  <c r="E63" i="31"/>
  <c r="D63" i="31"/>
  <c r="C63" i="31"/>
  <c r="AH58" i="31"/>
  <c r="AG58" i="31"/>
  <c r="AF58" i="31"/>
  <c r="AE58" i="31"/>
  <c r="AD58" i="31"/>
  <c r="AC58" i="31"/>
  <c r="Z58" i="31"/>
  <c r="Y58" i="31"/>
  <c r="X58" i="31"/>
  <c r="W58" i="31"/>
  <c r="V58" i="31"/>
  <c r="U58" i="31"/>
  <c r="P58" i="31"/>
  <c r="O58" i="31"/>
  <c r="N58" i="31"/>
  <c r="M58" i="31"/>
  <c r="L58" i="31"/>
  <c r="K58" i="31"/>
  <c r="H58" i="31"/>
  <c r="G58" i="31"/>
  <c r="F58" i="31"/>
  <c r="E58" i="31"/>
  <c r="D58" i="31"/>
  <c r="AJ57" i="31"/>
  <c r="AI57" i="31"/>
  <c r="AB57" i="31"/>
  <c r="AA57" i="31"/>
  <c r="R57" i="31"/>
  <c r="Q57" i="31"/>
  <c r="J57" i="31"/>
  <c r="I57" i="31"/>
  <c r="AJ55" i="31"/>
  <c r="AI55" i="31"/>
  <c r="AB55" i="31"/>
  <c r="AA55" i="31"/>
  <c r="R55" i="31"/>
  <c r="Q55" i="31"/>
  <c r="J55" i="31"/>
  <c r="I55" i="31"/>
  <c r="AJ54" i="31"/>
  <c r="AI54" i="31"/>
  <c r="AB54" i="31"/>
  <c r="AA54" i="31"/>
  <c r="R54" i="31"/>
  <c r="Q54" i="31"/>
  <c r="J54" i="31"/>
  <c r="I54" i="31"/>
  <c r="AJ53" i="31"/>
  <c r="AI53" i="31"/>
  <c r="AB53" i="31"/>
  <c r="AA53" i="31"/>
  <c r="R53" i="31"/>
  <c r="Q53" i="31"/>
  <c r="J53" i="31"/>
  <c r="I53" i="31"/>
  <c r="AJ52" i="31"/>
  <c r="AI52" i="31"/>
  <c r="AB52" i="31"/>
  <c r="AA52" i="31"/>
  <c r="R52" i="31"/>
  <c r="Q52" i="31"/>
  <c r="J52" i="31"/>
  <c r="I52" i="31"/>
  <c r="AJ51" i="31"/>
  <c r="AI51" i="31"/>
  <c r="AB51" i="31"/>
  <c r="AA51" i="31"/>
  <c r="R51" i="31"/>
  <c r="Q51" i="31"/>
  <c r="J51" i="31"/>
  <c r="I51" i="31"/>
  <c r="AJ50" i="31"/>
  <c r="AI50" i="31"/>
  <c r="AB50" i="31"/>
  <c r="AA50" i="31"/>
  <c r="R50" i="31"/>
  <c r="Q50" i="31"/>
  <c r="J50" i="31"/>
  <c r="I50" i="31"/>
  <c r="AJ49" i="31"/>
  <c r="AI49" i="31"/>
  <c r="AB49" i="31"/>
  <c r="AA49" i="31"/>
  <c r="R49" i="31"/>
  <c r="Q49" i="31"/>
  <c r="J49" i="31"/>
  <c r="I49" i="31"/>
  <c r="AJ48" i="31"/>
  <c r="AI48" i="31"/>
  <c r="AB48" i="31"/>
  <c r="AA48" i="31"/>
  <c r="R48" i="31"/>
  <c r="Q48" i="31"/>
  <c r="J48" i="31"/>
  <c r="I48" i="31"/>
  <c r="AJ47" i="31"/>
  <c r="AI47" i="31"/>
  <c r="AB47" i="31"/>
  <c r="AA47" i="31"/>
  <c r="R47" i="31"/>
  <c r="Q47" i="31"/>
  <c r="J47" i="31"/>
  <c r="I47" i="31"/>
  <c r="AJ46" i="31"/>
  <c r="AI46" i="31"/>
  <c r="AB46" i="31"/>
  <c r="AA46" i="31"/>
  <c r="R46" i="31"/>
  <c r="Q46" i="31"/>
  <c r="J46" i="31"/>
  <c r="I46" i="31"/>
  <c r="AJ45" i="31"/>
  <c r="AI45" i="31"/>
  <c r="AB45" i="31"/>
  <c r="AA45" i="31"/>
  <c r="R45" i="31"/>
  <c r="Q45" i="31"/>
  <c r="J45" i="31"/>
  <c r="I45" i="31"/>
  <c r="AJ44" i="31"/>
  <c r="AI44" i="31"/>
  <c r="AB44" i="31"/>
  <c r="AA44" i="31"/>
  <c r="R44" i="31"/>
  <c r="Q44" i="31"/>
  <c r="J44" i="31"/>
  <c r="I44" i="31"/>
  <c r="AJ43" i="31"/>
  <c r="AI43" i="31"/>
  <c r="AB43" i="31"/>
  <c r="AA43" i="31"/>
  <c r="R43" i="31"/>
  <c r="Q43" i="31"/>
  <c r="J43" i="31"/>
  <c r="I43" i="31"/>
  <c r="AJ42" i="31"/>
  <c r="AI42" i="31"/>
  <c r="AB42" i="31"/>
  <c r="AA42" i="31"/>
  <c r="R42" i="31"/>
  <c r="Q42" i="31"/>
  <c r="J42" i="31"/>
  <c r="I42" i="31"/>
  <c r="AJ41" i="31"/>
  <c r="AI41" i="31"/>
  <c r="AB41" i="31"/>
  <c r="AA41" i="31"/>
  <c r="R41" i="31"/>
  <c r="Q41" i="31"/>
  <c r="J41" i="31"/>
  <c r="I41" i="31"/>
  <c r="AJ40" i="31"/>
  <c r="AI40" i="31"/>
  <c r="AB40" i="31"/>
  <c r="AA40" i="31"/>
  <c r="R40" i="31"/>
  <c r="Q40" i="31"/>
  <c r="J40" i="31"/>
  <c r="I40" i="31"/>
  <c r="AJ39" i="31"/>
  <c r="AI39" i="31"/>
  <c r="AB39" i="31"/>
  <c r="AA39" i="31"/>
  <c r="R39" i="31"/>
  <c r="Q39" i="31"/>
  <c r="J39" i="31"/>
  <c r="I39" i="31"/>
  <c r="AJ38" i="31"/>
  <c r="AI38" i="31"/>
  <c r="AB38" i="31"/>
  <c r="AA38" i="31"/>
  <c r="R38" i="31"/>
  <c r="Q38" i="31"/>
  <c r="J38" i="31"/>
  <c r="I38" i="31"/>
  <c r="AJ37" i="31"/>
  <c r="AI37" i="31"/>
  <c r="AB37" i="31"/>
  <c r="AA37" i="31"/>
  <c r="R37" i="31"/>
  <c r="Q37" i="31"/>
  <c r="J37" i="31"/>
  <c r="I37" i="31"/>
  <c r="AJ36" i="31"/>
  <c r="AI36" i="31"/>
  <c r="AB36" i="31"/>
  <c r="AA36" i="31"/>
  <c r="R36" i="31"/>
  <c r="Q36" i="31"/>
  <c r="J36" i="31"/>
  <c r="I36" i="31"/>
  <c r="AJ35" i="31"/>
  <c r="AI35" i="31"/>
  <c r="AB35" i="31"/>
  <c r="AA35" i="31"/>
  <c r="R35" i="31"/>
  <c r="Q35" i="31"/>
  <c r="J35" i="31"/>
  <c r="I35" i="31"/>
  <c r="AJ34" i="31"/>
  <c r="AI34" i="31"/>
  <c r="AB34" i="31"/>
  <c r="AA34" i="31"/>
  <c r="R34" i="31"/>
  <c r="Q34" i="31"/>
  <c r="J34" i="31"/>
  <c r="I34" i="31"/>
  <c r="AJ33" i="31"/>
  <c r="AI33" i="31"/>
  <c r="AB33" i="31"/>
  <c r="AA33" i="31"/>
  <c r="R33" i="31"/>
  <c r="Q33" i="31"/>
  <c r="I33" i="31"/>
  <c r="AH32" i="31"/>
  <c r="AG32" i="31"/>
  <c r="AF32" i="31"/>
  <c r="AE32" i="31"/>
  <c r="AD32" i="31"/>
  <c r="AC32" i="31"/>
  <c r="Z32" i="31"/>
  <c r="Y32" i="31"/>
  <c r="X32" i="31"/>
  <c r="W32" i="31"/>
  <c r="V32" i="31"/>
  <c r="U32" i="31"/>
  <c r="P32" i="31"/>
  <c r="O32" i="31"/>
  <c r="N32" i="31"/>
  <c r="M32" i="31"/>
  <c r="L32" i="31"/>
  <c r="K32" i="31"/>
  <c r="H32" i="31"/>
  <c r="G32" i="31"/>
  <c r="F32" i="31"/>
  <c r="E32" i="31"/>
  <c r="D32" i="31"/>
  <c r="C32" i="31"/>
  <c r="AJ31" i="31"/>
  <c r="AI31" i="31"/>
  <c r="AB31" i="31"/>
  <c r="AA31" i="31"/>
  <c r="R31" i="31"/>
  <c r="Q31" i="31"/>
  <c r="J31" i="31"/>
  <c r="I31" i="31"/>
  <c r="AJ30" i="31"/>
  <c r="AI30" i="31"/>
  <c r="AB30" i="31"/>
  <c r="AA30" i="31"/>
  <c r="R30" i="31"/>
  <c r="Q30" i="31"/>
  <c r="J30" i="31"/>
  <c r="I30" i="31"/>
  <c r="AJ29" i="31"/>
  <c r="AI29" i="31"/>
  <c r="AB29" i="31"/>
  <c r="AA29" i="31"/>
  <c r="R29" i="31"/>
  <c r="Q29" i="31"/>
  <c r="J29" i="31"/>
  <c r="I29" i="31"/>
  <c r="AJ28" i="31"/>
  <c r="AI28" i="31"/>
  <c r="AB28" i="31"/>
  <c r="AA28" i="31"/>
  <c r="R28" i="31"/>
  <c r="Q28" i="31"/>
  <c r="J28" i="31"/>
  <c r="I28" i="31"/>
  <c r="AJ27" i="31"/>
  <c r="AI27" i="31"/>
  <c r="AB27" i="31"/>
  <c r="AA27" i="31"/>
  <c r="R27" i="31"/>
  <c r="Q27" i="31"/>
  <c r="J27" i="31"/>
  <c r="I27" i="31"/>
  <c r="AJ26" i="31"/>
  <c r="AI26" i="31"/>
  <c r="AB26" i="31"/>
  <c r="AA26" i="31"/>
  <c r="R26" i="31"/>
  <c r="Q26" i="31"/>
  <c r="J26" i="31"/>
  <c r="I26" i="31"/>
  <c r="AJ25" i="31"/>
  <c r="AI25" i="31"/>
  <c r="AB25" i="31"/>
  <c r="AA25" i="31"/>
  <c r="R25" i="31"/>
  <c r="Q25" i="31"/>
  <c r="J25" i="31"/>
  <c r="I25" i="31"/>
  <c r="AJ24" i="31"/>
  <c r="AI24" i="31"/>
  <c r="AB24" i="31"/>
  <c r="AA24" i="31"/>
  <c r="R24" i="31"/>
  <c r="Q24" i="31"/>
  <c r="J24" i="31"/>
  <c r="I24" i="31"/>
  <c r="AJ23" i="31"/>
  <c r="AI23" i="31"/>
  <c r="AB23" i="31"/>
  <c r="AA23" i="31"/>
  <c r="R23" i="31"/>
  <c r="Q23" i="31"/>
  <c r="J23" i="31"/>
  <c r="I23" i="31"/>
  <c r="AH20" i="31"/>
  <c r="AH21" i="31" s="1"/>
  <c r="AH22" i="31" s="1"/>
  <c r="AG20" i="31"/>
  <c r="AG21" i="31" s="1"/>
  <c r="AG22" i="31" s="1"/>
  <c r="AF20" i="31"/>
  <c r="AF21" i="31" s="1"/>
  <c r="AF22" i="31" s="1"/>
  <c r="AE20" i="31"/>
  <c r="AE21" i="31" s="1"/>
  <c r="AD20" i="31"/>
  <c r="AD21" i="31" s="1"/>
  <c r="AD22" i="31" s="1"/>
  <c r="AC20" i="31"/>
  <c r="AC21" i="31" s="1"/>
  <c r="AC22" i="31" s="1"/>
  <c r="Z20" i="31"/>
  <c r="Z21" i="31" s="1"/>
  <c r="Z22" i="31" s="1"/>
  <c r="Y20" i="31"/>
  <c r="Y21" i="31" s="1"/>
  <c r="X20" i="31"/>
  <c r="X21" i="31" s="1"/>
  <c r="X22" i="31" s="1"/>
  <c r="W20" i="31"/>
  <c r="W21" i="31" s="1"/>
  <c r="W22" i="31" s="1"/>
  <c r="V20" i="31"/>
  <c r="V21" i="31" s="1"/>
  <c r="V22" i="31" s="1"/>
  <c r="U20" i="31"/>
  <c r="U21" i="31" s="1"/>
  <c r="U22" i="31" s="1"/>
  <c r="P20" i="31"/>
  <c r="P21" i="31" s="1"/>
  <c r="P22" i="31" s="1"/>
  <c r="O20" i="31"/>
  <c r="O21" i="31" s="1"/>
  <c r="O22" i="31" s="1"/>
  <c r="N20" i="31"/>
  <c r="N21" i="31" s="1"/>
  <c r="N22" i="31" s="1"/>
  <c r="M20" i="31"/>
  <c r="M21" i="31" s="1"/>
  <c r="M22" i="31" s="1"/>
  <c r="L20" i="31"/>
  <c r="L21" i="31" s="1"/>
  <c r="L22" i="31" s="1"/>
  <c r="K20" i="31"/>
  <c r="K21" i="31" s="1"/>
  <c r="K22" i="31" s="1"/>
  <c r="H20" i="31"/>
  <c r="H21" i="31" s="1"/>
  <c r="H22" i="31" s="1"/>
  <c r="G20" i="31"/>
  <c r="G21" i="31" s="1"/>
  <c r="G22" i="31" s="1"/>
  <c r="F20" i="31"/>
  <c r="F21" i="31" s="1"/>
  <c r="F22" i="31" s="1"/>
  <c r="E20" i="31"/>
  <c r="E21" i="31" s="1"/>
  <c r="E22" i="31" s="1"/>
  <c r="D20" i="31"/>
  <c r="D21" i="31" s="1"/>
  <c r="C20" i="31"/>
  <c r="C21" i="31" s="1"/>
  <c r="C22" i="31" s="1"/>
  <c r="AJ19" i="31"/>
  <c r="AI19" i="31"/>
  <c r="AB19" i="31"/>
  <c r="AA19" i="31"/>
  <c r="R19" i="31"/>
  <c r="Q19" i="31"/>
  <c r="J19" i="31"/>
  <c r="I19" i="31"/>
  <c r="AJ18" i="31"/>
  <c r="AI18" i="31"/>
  <c r="AB18" i="31"/>
  <c r="AA18" i="31"/>
  <c r="R18" i="31"/>
  <c r="Q18" i="31"/>
  <c r="J18" i="31"/>
  <c r="I18" i="31"/>
  <c r="AJ17" i="31"/>
  <c r="AI17" i="31"/>
  <c r="AB17" i="31"/>
  <c r="AA17" i="31"/>
  <c r="R17" i="31"/>
  <c r="Q17" i="31"/>
  <c r="J17" i="31"/>
  <c r="I17" i="31"/>
  <c r="AJ16" i="31"/>
  <c r="AI16" i="31"/>
  <c r="AB16" i="31"/>
  <c r="AA16" i="31"/>
  <c r="R16" i="31"/>
  <c r="Q16" i="31"/>
  <c r="J16" i="31"/>
  <c r="I16" i="31"/>
  <c r="AJ15" i="31"/>
  <c r="AI15" i="31"/>
  <c r="AB15" i="31"/>
  <c r="AA15" i="31"/>
  <c r="R15" i="31"/>
  <c r="Q15" i="31"/>
  <c r="J15" i="31"/>
  <c r="I15" i="31"/>
  <c r="AJ14" i="31"/>
  <c r="AI14" i="31"/>
  <c r="AB14" i="31"/>
  <c r="AA14" i="31"/>
  <c r="R14" i="31"/>
  <c r="Q14" i="31"/>
  <c r="J14" i="31"/>
  <c r="I14" i="31"/>
  <c r="AJ13" i="31"/>
  <c r="AI13" i="31"/>
  <c r="AB13" i="31"/>
  <c r="AA13" i="31"/>
  <c r="R13" i="31"/>
  <c r="Q13" i="31"/>
  <c r="J13" i="31"/>
  <c r="I13" i="31"/>
  <c r="AJ12" i="31"/>
  <c r="AI12" i="31"/>
  <c r="AB12" i="31"/>
  <c r="AA12" i="31"/>
  <c r="R12" i="31"/>
  <c r="Q12" i="31"/>
  <c r="J12" i="31"/>
  <c r="I12" i="31"/>
  <c r="AJ11" i="31"/>
  <c r="AI11" i="31"/>
  <c r="AB11" i="31"/>
  <c r="AA11" i="31"/>
  <c r="R11" i="31"/>
  <c r="Q11" i="31"/>
  <c r="I11" i="31"/>
  <c r="AJ10" i="31"/>
  <c r="AI10" i="31"/>
  <c r="AB10" i="31"/>
  <c r="AA10" i="31"/>
  <c r="R10" i="31"/>
  <c r="Q10" i="31"/>
  <c r="J10" i="31"/>
  <c r="I10" i="31"/>
  <c r="AJ9" i="31"/>
  <c r="AI9" i="31"/>
  <c r="AB9" i="31"/>
  <c r="AA9" i="31"/>
  <c r="R9" i="31"/>
  <c r="Q9" i="31"/>
  <c r="J9" i="31"/>
  <c r="I9" i="31"/>
  <c r="AJ8" i="31"/>
  <c r="AI8" i="31"/>
  <c r="AB8" i="31"/>
  <c r="AA8" i="31"/>
  <c r="R8" i="31"/>
  <c r="Q8" i="31"/>
  <c r="J8" i="31"/>
  <c r="I8" i="31"/>
  <c r="AJ7" i="31"/>
  <c r="AI7" i="31"/>
  <c r="AB7" i="31"/>
  <c r="AA7" i="31"/>
  <c r="R7" i="31"/>
  <c r="Q7" i="31"/>
  <c r="J7" i="31"/>
  <c r="I7" i="31"/>
  <c r="AJ6" i="31"/>
  <c r="AI6" i="31"/>
  <c r="AB6" i="31"/>
  <c r="AA6" i="31"/>
  <c r="R6" i="31"/>
  <c r="Q6" i="31"/>
  <c r="J6" i="31"/>
  <c r="I6" i="31"/>
  <c r="AJ5" i="31"/>
  <c r="AI5" i="31"/>
  <c r="AB5" i="31"/>
  <c r="AA5" i="31"/>
  <c r="R5" i="31"/>
  <c r="Q5" i="31"/>
  <c r="J5" i="31"/>
  <c r="I5" i="31"/>
  <c r="I55" i="23" l="1"/>
  <c r="I54" i="23"/>
  <c r="AE59" i="31"/>
  <c r="AE60" i="31" s="1"/>
  <c r="AH59" i="31"/>
  <c r="AH60" i="31" s="1"/>
  <c r="AD59" i="31"/>
  <c r="AD60" i="31" s="1"/>
  <c r="AL23" i="31"/>
  <c r="AL24" i="31"/>
  <c r="AL26" i="31"/>
  <c r="AL28" i="31"/>
  <c r="AL29" i="31"/>
  <c r="AL30" i="31"/>
  <c r="AL25" i="31"/>
  <c r="X59" i="31"/>
  <c r="X60" i="31" s="1"/>
  <c r="P59" i="31"/>
  <c r="P60" i="31" s="1"/>
  <c r="N59" i="31"/>
  <c r="N60" i="31" s="1"/>
  <c r="L59" i="31"/>
  <c r="L60" i="31" s="1"/>
  <c r="T25" i="31"/>
  <c r="T27" i="31"/>
  <c r="T28" i="31"/>
  <c r="T29" i="31"/>
  <c r="R20" i="31"/>
  <c r="R21" i="31" s="1"/>
  <c r="R22" i="31" s="1"/>
  <c r="Y59" i="31"/>
  <c r="Y60" i="31" s="1"/>
  <c r="Y64" i="31" s="1"/>
  <c r="Y65" i="31" s="1"/>
  <c r="U59" i="31"/>
  <c r="U60" i="31" s="1"/>
  <c r="U61" i="31" s="1"/>
  <c r="M59" i="31"/>
  <c r="M60" i="31" s="1"/>
  <c r="M64" i="31" s="1"/>
  <c r="M65" i="31" s="1"/>
  <c r="S38" i="31"/>
  <c r="S51" i="31"/>
  <c r="S53" i="31"/>
  <c r="F59" i="31"/>
  <c r="F60" i="31" s="1"/>
  <c r="AK38" i="31"/>
  <c r="AK51" i="31"/>
  <c r="AK52" i="31"/>
  <c r="AK53" i="31"/>
  <c r="AK30" i="31"/>
  <c r="AK31" i="31"/>
  <c r="S31" i="31"/>
  <c r="S29" i="31"/>
  <c r="AE22" i="31"/>
  <c r="Y22" i="31"/>
  <c r="T17" i="31"/>
  <c r="AL17" i="31"/>
  <c r="AL18" i="31"/>
  <c r="T19" i="31"/>
  <c r="AL39" i="31"/>
  <c r="T15" i="31"/>
  <c r="S54" i="31"/>
  <c r="AF59" i="31"/>
  <c r="AF60" i="31" s="1"/>
  <c r="S10" i="31"/>
  <c r="S12" i="31"/>
  <c r="AK12" i="31"/>
  <c r="AK13" i="31"/>
  <c r="S14" i="31"/>
  <c r="S15" i="31"/>
  <c r="AL16" i="31"/>
  <c r="S39" i="31"/>
  <c r="T8" i="31"/>
  <c r="AL8" i="31"/>
  <c r="T9" i="31"/>
  <c r="AL9" i="31"/>
  <c r="AL10" i="31"/>
  <c r="T12" i="31"/>
  <c r="AL12" i="31"/>
  <c r="AK19" i="31"/>
  <c r="AL34" i="31"/>
  <c r="AL35" i="31"/>
  <c r="T36" i="31"/>
  <c r="AL36" i="31"/>
  <c r="T37" i="31"/>
  <c r="AL37" i="31"/>
  <c r="T38" i="31"/>
  <c r="AL43" i="31"/>
  <c r="T44" i="31"/>
  <c r="AL44" i="31"/>
  <c r="T45" i="31"/>
  <c r="T46" i="31"/>
  <c r="AL46" i="31"/>
  <c r="T47" i="31"/>
  <c r="T48" i="31"/>
  <c r="AL48" i="31"/>
  <c r="AL49" i="31"/>
  <c r="T50" i="31"/>
  <c r="AL50" i="31"/>
  <c r="AL51" i="31"/>
  <c r="T52" i="31"/>
  <c r="AL52" i="31"/>
  <c r="T53" i="31"/>
  <c r="AL53" i="31"/>
  <c r="T54" i="31"/>
  <c r="T57" i="31"/>
  <c r="AI20" i="31"/>
  <c r="AI21" i="31" s="1"/>
  <c r="T40" i="31"/>
  <c r="T7" i="31"/>
  <c r="AL14" i="31"/>
  <c r="S16" i="31"/>
  <c r="AA58" i="31"/>
  <c r="T39" i="31"/>
  <c r="S40" i="31"/>
  <c r="AK40" i="31"/>
  <c r="S41" i="31"/>
  <c r="AK42" i="31"/>
  <c r="S43" i="31"/>
  <c r="AK43" i="31"/>
  <c r="AL45" i="31"/>
  <c r="AK54" i="31"/>
  <c r="S55" i="31"/>
  <c r="S57" i="31"/>
  <c r="S7" i="31"/>
  <c r="T13" i="31"/>
  <c r="AL13" i="31"/>
  <c r="AK15" i="31"/>
  <c r="AK16" i="31"/>
  <c r="AB20" i="31"/>
  <c r="AB21" i="31" s="1"/>
  <c r="AB22" i="31" s="1"/>
  <c r="AK7" i="31"/>
  <c r="S8" i="31"/>
  <c r="AK8" i="31"/>
  <c r="T16" i="31"/>
  <c r="AK17" i="31"/>
  <c r="S18" i="31"/>
  <c r="S19" i="31"/>
  <c r="AJ32" i="31"/>
  <c r="T31" i="31"/>
  <c r="AL31" i="31"/>
  <c r="D59" i="31"/>
  <c r="D60" i="31" s="1"/>
  <c r="H59" i="31"/>
  <c r="H60" i="31" s="1"/>
  <c r="V59" i="31"/>
  <c r="V60" i="31" s="1"/>
  <c r="Z59" i="31"/>
  <c r="Z60" i="31" s="1"/>
  <c r="S35" i="31"/>
  <c r="AK35" i="31"/>
  <c r="AK36" i="31"/>
  <c r="S37" i="31"/>
  <c r="AK37" i="31"/>
  <c r="T41" i="31"/>
  <c r="AL41" i="31"/>
  <c r="AL42" i="31"/>
  <c r="T43" i="31"/>
  <c r="AK44" i="31"/>
  <c r="S45" i="31"/>
  <c r="AK45" i="31"/>
  <c r="S46" i="31"/>
  <c r="AK46" i="31"/>
  <c r="S47" i="31"/>
  <c r="S48" i="31"/>
  <c r="AK48" i="31"/>
  <c r="S49" i="31"/>
  <c r="AK50" i="31"/>
  <c r="T55" i="31"/>
  <c r="AL55" i="31"/>
  <c r="AK57" i="31"/>
  <c r="Q20" i="31"/>
  <c r="Q21" i="31" s="1"/>
  <c r="Q22" i="31" s="1"/>
  <c r="AA20" i="31"/>
  <c r="AA21" i="31" s="1"/>
  <c r="AA22" i="31" s="1"/>
  <c r="I32" i="31"/>
  <c r="AK24" i="31"/>
  <c r="S25" i="31"/>
  <c r="S26" i="31"/>
  <c r="AK26" i="31"/>
  <c r="S27" i="31"/>
  <c r="AK27" i="31"/>
  <c r="AK28" i="31"/>
  <c r="T30" i="31"/>
  <c r="E59" i="31"/>
  <c r="E60" i="31" s="1"/>
  <c r="W59" i="31"/>
  <c r="W60" i="31" s="1"/>
  <c r="AC59" i="31"/>
  <c r="AC60" i="31" s="1"/>
  <c r="AG59" i="31"/>
  <c r="AG60" i="31" s="1"/>
  <c r="D22" i="31"/>
  <c r="J20" i="31"/>
  <c r="J21" i="31" s="1"/>
  <c r="J22" i="31" s="1"/>
  <c r="T11" i="31"/>
  <c r="T34" i="31"/>
  <c r="AA63" i="31"/>
  <c r="AK9" i="31"/>
  <c r="S23" i="31"/>
  <c r="Q63" i="31"/>
  <c r="I20" i="31"/>
  <c r="I21" i="31" s="1"/>
  <c r="I22" i="31" s="1"/>
  <c r="AJ20" i="31"/>
  <c r="AJ21" i="31" s="1"/>
  <c r="AJ22" i="31" s="1"/>
  <c r="AK11" i="31"/>
  <c r="Q32" i="31"/>
  <c r="R58" i="31"/>
  <c r="AI58" i="31"/>
  <c r="J63" i="31"/>
  <c r="AK5" i="31"/>
  <c r="S6" i="31"/>
  <c r="T5" i="31"/>
  <c r="AJ63" i="31"/>
  <c r="T6" i="31"/>
  <c r="AK6" i="31"/>
  <c r="AL6" i="31"/>
  <c r="AL7" i="31"/>
  <c r="S9" i="31"/>
  <c r="T10" i="31"/>
  <c r="AK10" i="31"/>
  <c r="S13" i="31"/>
  <c r="T14" i="31"/>
  <c r="AK14" i="31"/>
  <c r="AL15" i="31"/>
  <c r="S17" i="31"/>
  <c r="T18" i="31"/>
  <c r="AK18" i="31"/>
  <c r="AL19" i="31"/>
  <c r="R32" i="31"/>
  <c r="AI32" i="31"/>
  <c r="S24" i="31"/>
  <c r="I58" i="31"/>
  <c r="S33" i="31"/>
  <c r="R63" i="31"/>
  <c r="AB63" i="31"/>
  <c r="AL5" i="31"/>
  <c r="AL11" i="31"/>
  <c r="J32" i="31"/>
  <c r="T23" i="31"/>
  <c r="T26" i="31"/>
  <c r="AL27" i="31"/>
  <c r="J58" i="31"/>
  <c r="AJ58" i="31"/>
  <c r="AL38" i="31"/>
  <c r="T49" i="31"/>
  <c r="AL54" i="31"/>
  <c r="AL57" i="31"/>
  <c r="I63" i="31"/>
  <c r="S5" i="31"/>
  <c r="AI63" i="31"/>
  <c r="S11" i="31"/>
  <c r="AA32" i="31"/>
  <c r="AK23" i="31"/>
  <c r="T24" i="31"/>
  <c r="AK25" i="31"/>
  <c r="S28" i="31"/>
  <c r="AK29" i="31"/>
  <c r="AB58" i="31"/>
  <c r="AL33" i="31"/>
  <c r="T35" i="31"/>
  <c r="AL40" i="31"/>
  <c r="T42" i="31"/>
  <c r="AL47" i="31"/>
  <c r="T51" i="31"/>
  <c r="S30" i="31"/>
  <c r="AB32" i="31"/>
  <c r="T33" i="31"/>
  <c r="S34" i="31"/>
  <c r="AK39" i="31"/>
  <c r="S42" i="31"/>
  <c r="AK47" i="31"/>
  <c r="S50" i="31"/>
  <c r="AK55" i="31"/>
  <c r="C59" i="31"/>
  <c r="C60" i="31" s="1"/>
  <c r="G59" i="31"/>
  <c r="G60" i="31" s="1"/>
  <c r="K59" i="31"/>
  <c r="K60" i="31" s="1"/>
  <c r="O59" i="31"/>
  <c r="O60" i="31" s="1"/>
  <c r="Q58" i="31"/>
  <c r="AK33" i="31"/>
  <c r="AK34" i="31"/>
  <c r="S36" i="31"/>
  <c r="AK41" i="31"/>
  <c r="S44" i="31"/>
  <c r="AK49" i="31"/>
  <c r="S52" i="31"/>
  <c r="AM55" i="31" l="1"/>
  <c r="AM30" i="31"/>
  <c r="AM38" i="31"/>
  <c r="AE61" i="31"/>
  <c r="AE64" i="31"/>
  <c r="AE65" i="31" s="1"/>
  <c r="AM54" i="31"/>
  <c r="AM29" i="31"/>
  <c r="AH64" i="31"/>
  <c r="AH65" i="31" s="1"/>
  <c r="AH61" i="31"/>
  <c r="AF64" i="31"/>
  <c r="AF65" i="31" s="1"/>
  <c r="AF61" i="31"/>
  <c r="AD64" i="31"/>
  <c r="AD65" i="31" s="1"/>
  <c r="AD61" i="31"/>
  <c r="Z64" i="31"/>
  <c r="Z65" i="31" s="1"/>
  <c r="Z61" i="31"/>
  <c r="X64" i="31"/>
  <c r="X65" i="31" s="1"/>
  <c r="X61" i="31"/>
  <c r="V64" i="31"/>
  <c r="V65" i="31" s="1"/>
  <c r="V61" i="31"/>
  <c r="P64" i="31"/>
  <c r="P65" i="31" s="1"/>
  <c r="P61" i="31"/>
  <c r="N64" i="31"/>
  <c r="N65" i="31" s="1"/>
  <c r="N61" i="31"/>
  <c r="R59" i="31"/>
  <c r="R60" i="31" s="1"/>
  <c r="L64" i="31"/>
  <c r="L65" i="31" s="1"/>
  <c r="L61" i="31"/>
  <c r="H64" i="31"/>
  <c r="H65" i="31" s="1"/>
  <c r="H61" i="31"/>
  <c r="AM50" i="31"/>
  <c r="AM52" i="31"/>
  <c r="AM36" i="31"/>
  <c r="U64" i="31"/>
  <c r="U65" i="31" s="1"/>
  <c r="AM51" i="31"/>
  <c r="M61" i="31"/>
  <c r="AM15" i="31"/>
  <c r="AM53" i="31"/>
  <c r="AM14" i="31"/>
  <c r="AM10" i="31"/>
  <c r="AJ59" i="31"/>
  <c r="AJ60" i="31" s="1"/>
  <c r="Y61" i="31"/>
  <c r="F64" i="31"/>
  <c r="F65" i="31" s="1"/>
  <c r="F61" i="31"/>
  <c r="AI59" i="31"/>
  <c r="AI60" i="31" s="1"/>
  <c r="AI61" i="31" s="1"/>
  <c r="AA59" i="31"/>
  <c r="AA60" i="31" s="1"/>
  <c r="AM31" i="31"/>
  <c r="AM26" i="31"/>
  <c r="AM24" i="31"/>
  <c r="AG64" i="31"/>
  <c r="AG65" i="31" s="1"/>
  <c r="AG61" i="31"/>
  <c r="AI22" i="31"/>
  <c r="AC64" i="31"/>
  <c r="AC65" i="31" s="1"/>
  <c r="AC61" i="31"/>
  <c r="W64" i="31"/>
  <c r="W65" i="31" s="1"/>
  <c r="W61" i="31"/>
  <c r="O64" i="31"/>
  <c r="O65" i="31" s="1"/>
  <c r="O61" i="31"/>
  <c r="K64" i="31"/>
  <c r="K65" i="31" s="1"/>
  <c r="K61" i="31"/>
  <c r="AM49" i="31"/>
  <c r="AM28" i="31"/>
  <c r="AM18" i="31"/>
  <c r="AM46" i="31"/>
  <c r="AM35" i="31"/>
  <c r="AM44" i="31"/>
  <c r="AM42" i="31"/>
  <c r="AM48" i="31"/>
  <c r="AM12" i="31"/>
  <c r="AM39" i="31"/>
  <c r="AM13" i="31"/>
  <c r="AM19" i="31"/>
  <c r="AM43" i="31"/>
  <c r="AM40" i="31"/>
  <c r="AM47" i="31"/>
  <c r="AM37" i="31"/>
  <c r="AM27" i="31"/>
  <c r="AM41" i="31"/>
  <c r="I59" i="31"/>
  <c r="I60" i="31" s="1"/>
  <c r="G64" i="31"/>
  <c r="G65" i="31" s="1"/>
  <c r="G61" i="31"/>
  <c r="E64" i="31"/>
  <c r="E65" i="31" s="1"/>
  <c r="E61" i="31"/>
  <c r="AM7" i="31"/>
  <c r="D64" i="31"/>
  <c r="D65" i="31" s="1"/>
  <c r="D61" i="31"/>
  <c r="AM25" i="31"/>
  <c r="AM45" i="31"/>
  <c r="AK58" i="31"/>
  <c r="AM17" i="31"/>
  <c r="AM8" i="31"/>
  <c r="AM57" i="31"/>
  <c r="AM16" i="31"/>
  <c r="C64" i="31"/>
  <c r="C65" i="31" s="1"/>
  <c r="C61" i="31"/>
  <c r="S63" i="31"/>
  <c r="AM5" i="31"/>
  <c r="S58" i="31"/>
  <c r="AM33" i="31"/>
  <c r="AK32" i="31"/>
  <c r="T32" i="31"/>
  <c r="AL20" i="31"/>
  <c r="AL21" i="31" s="1"/>
  <c r="AL22" i="31" s="1"/>
  <c r="J59" i="31"/>
  <c r="J60" i="31" s="1"/>
  <c r="AL63" i="31"/>
  <c r="AK20" i="31"/>
  <c r="AK21" i="31" s="1"/>
  <c r="AK22" i="31" s="1"/>
  <c r="AK63" i="31"/>
  <c r="AL32" i="31"/>
  <c r="T58" i="31"/>
  <c r="S20" i="31"/>
  <c r="S21" i="31" s="1"/>
  <c r="AM6" i="31"/>
  <c r="AB59" i="31"/>
  <c r="AB60" i="31" s="1"/>
  <c r="AM11" i="31"/>
  <c r="AM34" i="31"/>
  <c r="AL58" i="31"/>
  <c r="AM9" i="31"/>
  <c r="T20" i="31"/>
  <c r="T21" i="31" s="1"/>
  <c r="T22" i="31" s="1"/>
  <c r="T63" i="31"/>
  <c r="Q59" i="31"/>
  <c r="Q60" i="31" s="1"/>
  <c r="S32" i="31"/>
  <c r="AM23" i="31"/>
  <c r="AJ64" i="31" l="1"/>
  <c r="AJ65" i="31" s="1"/>
  <c r="AJ61" i="31"/>
  <c r="AB64" i="31"/>
  <c r="AB65" i="31" s="1"/>
  <c r="AB61" i="31"/>
  <c r="R64" i="31"/>
  <c r="R65" i="31" s="1"/>
  <c r="R61" i="31"/>
  <c r="AI64" i="31"/>
  <c r="AI65" i="31" s="1"/>
  <c r="AA64" i="31"/>
  <c r="AA65" i="31" s="1"/>
  <c r="AA61" i="31"/>
  <c r="Q64" i="31"/>
  <c r="Q65" i="31" s="1"/>
  <c r="Q61" i="31"/>
  <c r="AN22" i="31"/>
  <c r="S59" i="31"/>
  <c r="S60" i="31" s="1"/>
  <c r="S64" i="31" s="1"/>
  <c r="S65" i="31" s="1"/>
  <c r="AM32" i="31"/>
  <c r="AL59" i="31"/>
  <c r="AL60" i="31" s="1"/>
  <c r="AK59" i="31"/>
  <c r="AK60" i="31" s="1"/>
  <c r="J64" i="31"/>
  <c r="J65" i="31" s="1"/>
  <c r="J61" i="31"/>
  <c r="I64" i="31"/>
  <c r="I65" i="31" s="1"/>
  <c r="I61" i="31"/>
  <c r="S22" i="31"/>
  <c r="AM63" i="31"/>
  <c r="AM58" i="31"/>
  <c r="T59" i="31"/>
  <c r="T60" i="31" s="1"/>
  <c r="AM20" i="31"/>
  <c r="AM21" i="31" s="1"/>
  <c r="AM22" i="31" s="1"/>
  <c r="AL64" i="31" l="1"/>
  <c r="AL65" i="31" s="1"/>
  <c r="AL61" i="31"/>
  <c r="AK64" i="31"/>
  <c r="AK65" i="31" s="1"/>
  <c r="AK61" i="31"/>
  <c r="AM59" i="31"/>
  <c r="AM60" i="31" s="1"/>
  <c r="T64" i="31"/>
  <c r="T65" i="31" s="1"/>
  <c r="T61" i="31"/>
  <c r="S61" i="31"/>
  <c r="AN65" i="31" l="1"/>
  <c r="AN61" i="31"/>
  <c r="AM64" i="31"/>
  <c r="AM65" i="31" s="1"/>
  <c r="AM61" i="31"/>
  <c r="AN60" i="23" l="1"/>
  <c r="T61" i="23" l="1"/>
  <c r="P58" i="24"/>
  <c r="N58" i="24" l="1"/>
  <c r="F58" i="12" l="1"/>
  <c r="I57" i="18" l="1"/>
  <c r="C20" i="12"/>
  <c r="I35" i="12" l="1"/>
  <c r="D58" i="18" l="1"/>
  <c r="D32" i="18"/>
  <c r="D59" i="18" l="1"/>
  <c r="E20" i="19" l="1"/>
  <c r="AF58" i="24" l="1"/>
  <c r="N20" i="12" l="1"/>
  <c r="N129" i="28" l="1"/>
  <c r="M129" i="28"/>
  <c r="L129" i="28"/>
  <c r="K129" i="28"/>
  <c r="J129" i="28"/>
  <c r="I129" i="28"/>
  <c r="H129" i="28"/>
  <c r="N128" i="28"/>
  <c r="M128" i="28"/>
  <c r="L128" i="28"/>
  <c r="K128" i="28"/>
  <c r="J128" i="28"/>
  <c r="I128" i="28"/>
  <c r="H128" i="28"/>
  <c r="O127" i="28"/>
  <c r="O125" i="28"/>
  <c r="O124" i="28"/>
  <c r="O123" i="28"/>
  <c r="O122" i="28"/>
  <c r="O121" i="28"/>
  <c r="O120" i="28"/>
  <c r="O119" i="28"/>
  <c r="O118" i="28"/>
  <c r="O117" i="28"/>
  <c r="O116" i="28"/>
  <c r="O128" i="28" l="1"/>
  <c r="O129" i="28" s="1"/>
  <c r="R55" i="23"/>
  <c r="L20" i="12"/>
  <c r="N115" i="28" l="1"/>
  <c r="M115" i="28"/>
  <c r="L115" i="28"/>
  <c r="K115" i="28"/>
  <c r="J115" i="28"/>
  <c r="I115" i="28"/>
  <c r="H115" i="28"/>
  <c r="N114" i="28"/>
  <c r="M114" i="28"/>
  <c r="L114" i="28"/>
  <c r="K114" i="28"/>
  <c r="J114" i="28"/>
  <c r="I114" i="28"/>
  <c r="H114" i="28"/>
  <c r="O113" i="28"/>
  <c r="O111" i="28"/>
  <c r="O110" i="28"/>
  <c r="O109" i="28"/>
  <c r="O108" i="28"/>
  <c r="O107" i="28"/>
  <c r="O106" i="28"/>
  <c r="O105" i="28"/>
  <c r="O104" i="28"/>
  <c r="O103" i="28"/>
  <c r="O102" i="28"/>
  <c r="N31" i="28"/>
  <c r="M31" i="28"/>
  <c r="L31" i="28"/>
  <c r="K31" i="28"/>
  <c r="J31" i="28"/>
  <c r="I31" i="28"/>
  <c r="H31" i="28"/>
  <c r="N30" i="28"/>
  <c r="M30" i="28"/>
  <c r="L30" i="28"/>
  <c r="K30" i="28"/>
  <c r="J30" i="28"/>
  <c r="I30" i="28"/>
  <c r="H30" i="28"/>
  <c r="O29" i="28"/>
  <c r="O27" i="28"/>
  <c r="O26" i="28"/>
  <c r="O25" i="28"/>
  <c r="O24" i="28"/>
  <c r="O23" i="28"/>
  <c r="O22" i="28"/>
  <c r="O21" i="28"/>
  <c r="O20" i="28"/>
  <c r="O19" i="28"/>
  <c r="O18" i="28"/>
  <c r="N745" i="27"/>
  <c r="M745" i="27"/>
  <c r="L745" i="27"/>
  <c r="K745" i="27"/>
  <c r="J745" i="27"/>
  <c r="I745" i="27"/>
  <c r="H745" i="27"/>
  <c r="N744" i="27"/>
  <c r="M744" i="27"/>
  <c r="L744" i="27"/>
  <c r="K744" i="27"/>
  <c r="J744" i="27"/>
  <c r="I744" i="27"/>
  <c r="H744" i="27"/>
  <c r="O743" i="27"/>
  <c r="O741" i="27"/>
  <c r="O740" i="27"/>
  <c r="O739" i="27"/>
  <c r="O738" i="27"/>
  <c r="O737" i="27"/>
  <c r="O736" i="27"/>
  <c r="O735" i="27"/>
  <c r="O734" i="27"/>
  <c r="O733" i="27"/>
  <c r="O732" i="27"/>
  <c r="N31" i="25"/>
  <c r="M31" i="25"/>
  <c r="L31" i="25"/>
  <c r="K31" i="25"/>
  <c r="J31" i="25"/>
  <c r="I31" i="25"/>
  <c r="H31" i="25"/>
  <c r="N30" i="25"/>
  <c r="M30" i="25"/>
  <c r="L30" i="25"/>
  <c r="K30" i="25"/>
  <c r="J30" i="25"/>
  <c r="I30" i="25"/>
  <c r="H30" i="25"/>
  <c r="O29" i="25"/>
  <c r="O27" i="25"/>
  <c r="O26" i="25"/>
  <c r="O25" i="25"/>
  <c r="O24" i="25"/>
  <c r="O23" i="25"/>
  <c r="O22" i="25"/>
  <c r="O21" i="25"/>
  <c r="O20" i="25"/>
  <c r="O19" i="25"/>
  <c r="O18" i="25"/>
  <c r="O114" i="28" l="1"/>
  <c r="O115" i="28" s="1"/>
  <c r="O30" i="28"/>
  <c r="O31" i="28" s="1"/>
  <c r="O744" i="27"/>
  <c r="O745" i="27" s="1"/>
  <c r="O30" i="25"/>
  <c r="O31" i="25" s="1"/>
  <c r="AB55" i="23"/>
  <c r="T55" i="23"/>
  <c r="N101" i="28" l="1"/>
  <c r="M101" i="28"/>
  <c r="L101" i="28"/>
  <c r="K101" i="28"/>
  <c r="J101" i="28"/>
  <c r="I101" i="28"/>
  <c r="H101" i="28"/>
  <c r="N100" i="28"/>
  <c r="M100" i="28"/>
  <c r="L100" i="28"/>
  <c r="K100" i="28"/>
  <c r="J100" i="28"/>
  <c r="I100" i="28"/>
  <c r="H100" i="28"/>
  <c r="O99" i="28"/>
  <c r="O97" i="28"/>
  <c r="O96" i="28"/>
  <c r="O95" i="28"/>
  <c r="O94" i="28"/>
  <c r="O93" i="28"/>
  <c r="O92" i="28"/>
  <c r="O91" i="28"/>
  <c r="O90" i="28"/>
  <c r="O89" i="28"/>
  <c r="O88" i="28"/>
  <c r="N87" i="28"/>
  <c r="M87" i="28"/>
  <c r="L87" i="28"/>
  <c r="K87" i="28"/>
  <c r="J87" i="28"/>
  <c r="I87" i="28"/>
  <c r="H87" i="28"/>
  <c r="N86" i="28"/>
  <c r="M86" i="28"/>
  <c r="L86" i="28"/>
  <c r="K86" i="28"/>
  <c r="J86" i="28"/>
  <c r="I86" i="28"/>
  <c r="H86" i="28"/>
  <c r="O85" i="28"/>
  <c r="O83" i="28"/>
  <c r="O82" i="28"/>
  <c r="O81" i="28"/>
  <c r="O80" i="28"/>
  <c r="O79" i="28"/>
  <c r="O78" i="28"/>
  <c r="O77" i="28"/>
  <c r="O76" i="28"/>
  <c r="O75" i="28"/>
  <c r="O74" i="28"/>
  <c r="N73" i="28"/>
  <c r="M73" i="28"/>
  <c r="L73" i="28"/>
  <c r="K73" i="28"/>
  <c r="J73" i="28"/>
  <c r="I73" i="28"/>
  <c r="H73" i="28"/>
  <c r="N72" i="28"/>
  <c r="M72" i="28"/>
  <c r="L72" i="28"/>
  <c r="K72" i="28"/>
  <c r="J72" i="28"/>
  <c r="I72" i="28"/>
  <c r="H72" i="28"/>
  <c r="O71" i="28"/>
  <c r="O69" i="28"/>
  <c r="O68" i="28"/>
  <c r="O67" i="28"/>
  <c r="O66" i="28"/>
  <c r="O65" i="28"/>
  <c r="O64" i="28"/>
  <c r="O63" i="28"/>
  <c r="O62" i="28"/>
  <c r="O61" i="28"/>
  <c r="O60" i="28"/>
  <c r="N59" i="28"/>
  <c r="M59" i="28"/>
  <c r="L59" i="28"/>
  <c r="K59" i="28"/>
  <c r="J59" i="28"/>
  <c r="I59" i="28"/>
  <c r="H59" i="28"/>
  <c r="N58" i="28"/>
  <c r="M58" i="28"/>
  <c r="L58" i="28"/>
  <c r="K58" i="28"/>
  <c r="J58" i="28"/>
  <c r="I58" i="28"/>
  <c r="H58" i="28"/>
  <c r="O57" i="28"/>
  <c r="O55" i="28"/>
  <c r="O54" i="28"/>
  <c r="O53" i="28"/>
  <c r="O52" i="28"/>
  <c r="O51" i="28"/>
  <c r="O50" i="28"/>
  <c r="O49" i="28"/>
  <c r="O48" i="28"/>
  <c r="O47" i="28"/>
  <c r="O46" i="28"/>
  <c r="N45" i="28"/>
  <c r="M45" i="28"/>
  <c r="L45" i="28"/>
  <c r="K45" i="28"/>
  <c r="J45" i="28"/>
  <c r="I45" i="28"/>
  <c r="H45" i="28"/>
  <c r="N44" i="28"/>
  <c r="M44" i="28"/>
  <c r="L44" i="28"/>
  <c r="K44" i="28"/>
  <c r="J44" i="28"/>
  <c r="I44" i="28"/>
  <c r="H44" i="28"/>
  <c r="O43" i="28"/>
  <c r="O41" i="28"/>
  <c r="O40" i="28"/>
  <c r="O39" i="28"/>
  <c r="O38" i="28"/>
  <c r="O37" i="28"/>
  <c r="O36" i="28"/>
  <c r="O35" i="28"/>
  <c r="O34" i="28"/>
  <c r="O33" i="28"/>
  <c r="O32" i="28"/>
  <c r="N731" i="27"/>
  <c r="M731" i="27"/>
  <c r="L731" i="27"/>
  <c r="K731" i="27"/>
  <c r="J731" i="27"/>
  <c r="I731" i="27"/>
  <c r="H731" i="27"/>
  <c r="N730" i="27"/>
  <c r="M730" i="27"/>
  <c r="L730" i="27"/>
  <c r="K730" i="27"/>
  <c r="J730" i="27"/>
  <c r="I730" i="27"/>
  <c r="H730" i="27"/>
  <c r="O729" i="27"/>
  <c r="O727" i="27"/>
  <c r="O726" i="27"/>
  <c r="O725" i="27"/>
  <c r="O724" i="27"/>
  <c r="O723" i="27"/>
  <c r="O722" i="27"/>
  <c r="O721" i="27"/>
  <c r="O720" i="27"/>
  <c r="O719" i="27"/>
  <c r="O718" i="27"/>
  <c r="O731" i="27" s="1"/>
  <c r="N717" i="27"/>
  <c r="M717" i="27"/>
  <c r="L717" i="27"/>
  <c r="K717" i="27"/>
  <c r="J717" i="27"/>
  <c r="I717" i="27"/>
  <c r="H717" i="27"/>
  <c r="N716" i="27"/>
  <c r="M716" i="27"/>
  <c r="L716" i="27"/>
  <c r="K716" i="27"/>
  <c r="J716" i="27"/>
  <c r="I716" i="27"/>
  <c r="H716" i="27"/>
  <c r="O715" i="27"/>
  <c r="O713" i="27"/>
  <c r="O712" i="27"/>
  <c r="O711" i="27"/>
  <c r="O710" i="27"/>
  <c r="O709" i="27"/>
  <c r="O708" i="27"/>
  <c r="O707" i="27"/>
  <c r="O706" i="27"/>
  <c r="O705" i="27"/>
  <c r="O704" i="27"/>
  <c r="N129" i="26"/>
  <c r="M129" i="26"/>
  <c r="L129" i="26"/>
  <c r="K129" i="26"/>
  <c r="J129" i="26"/>
  <c r="I129" i="26"/>
  <c r="H129" i="26"/>
  <c r="N128" i="26"/>
  <c r="M128" i="26"/>
  <c r="L128" i="26"/>
  <c r="K128" i="26"/>
  <c r="J128" i="26"/>
  <c r="I128" i="26"/>
  <c r="H128" i="26"/>
  <c r="O127" i="26"/>
  <c r="O125" i="26"/>
  <c r="O124" i="26"/>
  <c r="O123" i="26"/>
  <c r="O122" i="26"/>
  <c r="O121" i="26"/>
  <c r="O120" i="26"/>
  <c r="O119" i="26"/>
  <c r="O118" i="26"/>
  <c r="O117" i="26"/>
  <c r="O116" i="26"/>
  <c r="N269" i="25"/>
  <c r="M269" i="25"/>
  <c r="L269" i="25"/>
  <c r="K269" i="25"/>
  <c r="J269" i="25"/>
  <c r="I269" i="25"/>
  <c r="H269" i="25"/>
  <c r="N268" i="25"/>
  <c r="M268" i="25"/>
  <c r="L268" i="25"/>
  <c r="K268" i="25"/>
  <c r="J268" i="25"/>
  <c r="I268" i="25"/>
  <c r="H268" i="25"/>
  <c r="O267" i="25"/>
  <c r="O265" i="25"/>
  <c r="O264" i="25"/>
  <c r="O263" i="25"/>
  <c r="O262" i="25"/>
  <c r="O261" i="25"/>
  <c r="O260" i="25"/>
  <c r="O259" i="25"/>
  <c r="O258" i="25"/>
  <c r="O257" i="25"/>
  <c r="O256" i="25"/>
  <c r="N255" i="25"/>
  <c r="M255" i="25"/>
  <c r="L255" i="25"/>
  <c r="K255" i="25"/>
  <c r="J255" i="25"/>
  <c r="I255" i="25"/>
  <c r="H255" i="25"/>
  <c r="N254" i="25"/>
  <c r="M254" i="25"/>
  <c r="L254" i="25"/>
  <c r="K254" i="25"/>
  <c r="J254" i="25"/>
  <c r="I254" i="25"/>
  <c r="H254" i="25"/>
  <c r="O253" i="25"/>
  <c r="O251" i="25"/>
  <c r="O250" i="25"/>
  <c r="O249" i="25"/>
  <c r="O248" i="25"/>
  <c r="O247" i="25"/>
  <c r="O246" i="25"/>
  <c r="O245" i="25"/>
  <c r="O244" i="25"/>
  <c r="O243" i="25"/>
  <c r="O242" i="25"/>
  <c r="O100" i="28" l="1"/>
  <c r="O101" i="28" s="1"/>
  <c r="O72" i="28"/>
  <c r="O73" i="28" s="1"/>
  <c r="O86" i="28"/>
  <c r="O87" i="28" s="1"/>
  <c r="O58" i="28"/>
  <c r="O59" i="28" s="1"/>
  <c r="O44" i="28"/>
  <c r="O45" i="28" s="1"/>
  <c r="O730" i="27"/>
  <c r="O716" i="27"/>
  <c r="O717" i="27" s="1"/>
  <c r="O128" i="26"/>
  <c r="O129" i="26" s="1"/>
  <c r="O268" i="25"/>
  <c r="O269" i="25" s="1"/>
  <c r="O254" i="25"/>
  <c r="O255" i="25" s="1"/>
  <c r="N703" i="27" l="1"/>
  <c r="M703" i="27"/>
  <c r="L703" i="27"/>
  <c r="K703" i="27"/>
  <c r="J703" i="27"/>
  <c r="I703" i="27"/>
  <c r="H703" i="27"/>
  <c r="N702" i="27"/>
  <c r="M702" i="27"/>
  <c r="L702" i="27"/>
  <c r="K702" i="27"/>
  <c r="J702" i="27"/>
  <c r="I702" i="27"/>
  <c r="H702" i="27"/>
  <c r="C702" i="27"/>
  <c r="C703" i="27" s="1"/>
  <c r="O701" i="27"/>
  <c r="O699" i="27"/>
  <c r="O698" i="27"/>
  <c r="O697" i="27"/>
  <c r="O696" i="27"/>
  <c r="O695" i="27"/>
  <c r="O694" i="27"/>
  <c r="O693" i="27"/>
  <c r="O692" i="27"/>
  <c r="O691" i="27"/>
  <c r="O690" i="27"/>
  <c r="N241" i="25"/>
  <c r="M241" i="25"/>
  <c r="L241" i="25"/>
  <c r="K241" i="25"/>
  <c r="J241" i="25"/>
  <c r="I241" i="25"/>
  <c r="H241" i="25"/>
  <c r="N240" i="25"/>
  <c r="M240" i="25"/>
  <c r="L240" i="25"/>
  <c r="K240" i="25"/>
  <c r="J240" i="25"/>
  <c r="I240" i="25"/>
  <c r="H240" i="25"/>
  <c r="O239" i="25"/>
  <c r="O237" i="25"/>
  <c r="O236" i="25"/>
  <c r="O235" i="25"/>
  <c r="O234" i="25"/>
  <c r="O233" i="25"/>
  <c r="O232" i="25"/>
  <c r="O231" i="25"/>
  <c r="O230" i="25"/>
  <c r="O229" i="25"/>
  <c r="O228" i="25"/>
  <c r="O702" i="27" l="1"/>
  <c r="O703" i="27" s="1"/>
  <c r="O240" i="25"/>
  <c r="O241" i="25" s="1"/>
  <c r="N17" i="28" l="1"/>
  <c r="M17" i="28"/>
  <c r="L17" i="28"/>
  <c r="K17" i="28"/>
  <c r="J17" i="28"/>
  <c r="I17" i="28"/>
  <c r="H17" i="28"/>
  <c r="N16" i="28"/>
  <c r="M16" i="28"/>
  <c r="L16" i="28"/>
  <c r="K16" i="28"/>
  <c r="J16" i="28"/>
  <c r="I16" i="28"/>
  <c r="H16" i="28"/>
  <c r="C16" i="28"/>
  <c r="C17" i="28" s="1"/>
  <c r="O15" i="28"/>
  <c r="O13" i="28"/>
  <c r="O12" i="28"/>
  <c r="O11" i="28"/>
  <c r="O10" i="28"/>
  <c r="O9" i="28"/>
  <c r="O8" i="28"/>
  <c r="O7" i="28"/>
  <c r="O6" i="28"/>
  <c r="O5" i="28"/>
  <c r="O4" i="28"/>
  <c r="D63" i="19"/>
  <c r="N689" i="27"/>
  <c r="M689" i="27"/>
  <c r="L689" i="27"/>
  <c r="K689" i="27"/>
  <c r="J689" i="27"/>
  <c r="I689" i="27"/>
  <c r="H689" i="27"/>
  <c r="N688" i="27"/>
  <c r="M688" i="27"/>
  <c r="L688" i="27"/>
  <c r="K688" i="27"/>
  <c r="J688" i="27"/>
  <c r="I688" i="27"/>
  <c r="H688" i="27"/>
  <c r="C688" i="27"/>
  <c r="C689" i="27" s="1"/>
  <c r="O687" i="27"/>
  <c r="O685" i="27"/>
  <c r="O684" i="27"/>
  <c r="O683" i="27"/>
  <c r="O682" i="27"/>
  <c r="O681" i="27"/>
  <c r="O680" i="27"/>
  <c r="O679" i="27"/>
  <c r="O678" i="27"/>
  <c r="O677" i="27"/>
  <c r="O676" i="27"/>
  <c r="N675" i="27"/>
  <c r="M675" i="27"/>
  <c r="L675" i="27"/>
  <c r="K675" i="27"/>
  <c r="J675" i="27"/>
  <c r="I675" i="27"/>
  <c r="H675" i="27"/>
  <c r="N674" i="27"/>
  <c r="M674" i="27"/>
  <c r="L674" i="27"/>
  <c r="K674" i="27"/>
  <c r="J674" i="27"/>
  <c r="I674" i="27"/>
  <c r="H674" i="27"/>
  <c r="C674" i="27"/>
  <c r="C675" i="27" s="1"/>
  <c r="O673" i="27"/>
  <c r="O671" i="27"/>
  <c r="O670" i="27"/>
  <c r="O669" i="27"/>
  <c r="O668" i="27"/>
  <c r="O667" i="27"/>
  <c r="O666" i="27"/>
  <c r="O665" i="27"/>
  <c r="O664" i="27"/>
  <c r="O663" i="27"/>
  <c r="O662" i="27"/>
  <c r="N661" i="27"/>
  <c r="M661" i="27"/>
  <c r="L661" i="27"/>
  <c r="K661" i="27"/>
  <c r="J661" i="27"/>
  <c r="I661" i="27"/>
  <c r="H661" i="27"/>
  <c r="N660" i="27"/>
  <c r="M660" i="27"/>
  <c r="L660" i="27"/>
  <c r="K660" i="27"/>
  <c r="J660" i="27"/>
  <c r="I660" i="27"/>
  <c r="H660" i="27"/>
  <c r="C660" i="27"/>
  <c r="C661" i="27" s="1"/>
  <c r="O659" i="27"/>
  <c r="O657" i="27"/>
  <c r="O656" i="27"/>
  <c r="O655" i="27"/>
  <c r="O654" i="27"/>
  <c r="O653" i="27"/>
  <c r="O652" i="27"/>
  <c r="O651" i="27"/>
  <c r="O650" i="27"/>
  <c r="O649" i="27"/>
  <c r="O648" i="27"/>
  <c r="N647" i="27"/>
  <c r="M647" i="27"/>
  <c r="L647" i="27"/>
  <c r="K647" i="27"/>
  <c r="J647" i="27"/>
  <c r="I647" i="27"/>
  <c r="H647" i="27"/>
  <c r="N646" i="27"/>
  <c r="M646" i="27"/>
  <c r="L646" i="27"/>
  <c r="K646" i="27"/>
  <c r="J646" i="27"/>
  <c r="I646" i="27"/>
  <c r="H646" i="27"/>
  <c r="C646" i="27"/>
  <c r="C647" i="27" s="1"/>
  <c r="O645" i="27"/>
  <c r="O643" i="27"/>
  <c r="O642" i="27"/>
  <c r="O641" i="27"/>
  <c r="O640" i="27"/>
  <c r="O639" i="27"/>
  <c r="O638" i="27"/>
  <c r="O637" i="27"/>
  <c r="O636" i="27"/>
  <c r="O635" i="27"/>
  <c r="O634" i="27"/>
  <c r="N633" i="27"/>
  <c r="M633" i="27"/>
  <c r="L633" i="27"/>
  <c r="K633" i="27"/>
  <c r="J633" i="27"/>
  <c r="I633" i="27"/>
  <c r="H633" i="27"/>
  <c r="N632" i="27"/>
  <c r="M632" i="27"/>
  <c r="L632" i="27"/>
  <c r="K632" i="27"/>
  <c r="J632" i="27"/>
  <c r="I632" i="27"/>
  <c r="H632" i="27"/>
  <c r="C632" i="27"/>
  <c r="C633" i="27" s="1"/>
  <c r="O631" i="27"/>
  <c r="O629" i="27"/>
  <c r="O628" i="27"/>
  <c r="O627" i="27"/>
  <c r="O626" i="27"/>
  <c r="O625" i="27"/>
  <c r="O624" i="27"/>
  <c r="O623" i="27"/>
  <c r="O622" i="27"/>
  <c r="O621" i="27"/>
  <c r="O620" i="27"/>
  <c r="N619" i="27"/>
  <c r="M619" i="27"/>
  <c r="L619" i="27"/>
  <c r="K619" i="27"/>
  <c r="J619" i="27"/>
  <c r="I619" i="27"/>
  <c r="H619" i="27"/>
  <c r="N618" i="27"/>
  <c r="M618" i="27"/>
  <c r="L618" i="27"/>
  <c r="K618" i="27"/>
  <c r="J618" i="27"/>
  <c r="I618" i="27"/>
  <c r="H618" i="27"/>
  <c r="C618" i="27"/>
  <c r="C619" i="27" s="1"/>
  <c r="O617" i="27"/>
  <c r="O615" i="27"/>
  <c r="O614" i="27"/>
  <c r="O613" i="27"/>
  <c r="O612" i="27"/>
  <c r="O611" i="27"/>
  <c r="O610" i="27"/>
  <c r="O609" i="27"/>
  <c r="O608" i="27"/>
  <c r="O607" i="27"/>
  <c r="O606" i="27"/>
  <c r="N605" i="27"/>
  <c r="M605" i="27"/>
  <c r="L605" i="27"/>
  <c r="K605" i="27"/>
  <c r="J605" i="27"/>
  <c r="I605" i="27"/>
  <c r="H605" i="27"/>
  <c r="N604" i="27"/>
  <c r="M604" i="27"/>
  <c r="L604" i="27"/>
  <c r="K604" i="27"/>
  <c r="J604" i="27"/>
  <c r="I604" i="27"/>
  <c r="H604" i="27"/>
  <c r="C604" i="27"/>
  <c r="C605" i="27" s="1"/>
  <c r="O603" i="27"/>
  <c r="O601" i="27"/>
  <c r="O600" i="27"/>
  <c r="O599" i="27"/>
  <c r="O598" i="27"/>
  <c r="O597" i="27"/>
  <c r="O596" i="27"/>
  <c r="O595" i="27"/>
  <c r="O594" i="27"/>
  <c r="O593" i="27"/>
  <c r="O592" i="27"/>
  <c r="N591" i="27"/>
  <c r="M591" i="27"/>
  <c r="L591" i="27"/>
  <c r="K591" i="27"/>
  <c r="J591" i="27"/>
  <c r="I591" i="27"/>
  <c r="H591" i="27"/>
  <c r="N590" i="27"/>
  <c r="M590" i="27"/>
  <c r="L590" i="27"/>
  <c r="K590" i="27"/>
  <c r="J590" i="27"/>
  <c r="I590" i="27"/>
  <c r="H590" i="27"/>
  <c r="C590" i="27"/>
  <c r="C591" i="27" s="1"/>
  <c r="O589" i="27"/>
  <c r="O587" i="27"/>
  <c r="O586" i="27"/>
  <c r="O585" i="27"/>
  <c r="O584" i="27"/>
  <c r="O583" i="27"/>
  <c r="O582" i="27"/>
  <c r="O581" i="27"/>
  <c r="O580" i="27"/>
  <c r="O579" i="27"/>
  <c r="O578" i="27"/>
  <c r="N577" i="27"/>
  <c r="M577" i="27"/>
  <c r="L577" i="27"/>
  <c r="K577" i="27"/>
  <c r="J577" i="27"/>
  <c r="I577" i="27"/>
  <c r="H577" i="27"/>
  <c r="N576" i="27"/>
  <c r="M576" i="27"/>
  <c r="L576" i="27"/>
  <c r="K576" i="27"/>
  <c r="J576" i="27"/>
  <c r="I576" i="27"/>
  <c r="H576" i="27"/>
  <c r="C576" i="27"/>
  <c r="C577" i="27" s="1"/>
  <c r="O575" i="27"/>
  <c r="O573" i="27"/>
  <c r="O572" i="27"/>
  <c r="O571" i="27"/>
  <c r="O570" i="27"/>
  <c r="O569" i="27"/>
  <c r="O568" i="27"/>
  <c r="O567" i="27"/>
  <c r="O566" i="27"/>
  <c r="O565" i="27"/>
  <c r="O564" i="27"/>
  <c r="N563" i="27"/>
  <c r="M563" i="27"/>
  <c r="L563" i="27"/>
  <c r="K563" i="27"/>
  <c r="J563" i="27"/>
  <c r="I563" i="27"/>
  <c r="H563" i="27"/>
  <c r="N562" i="27"/>
  <c r="M562" i="27"/>
  <c r="L562" i="27"/>
  <c r="K562" i="27"/>
  <c r="J562" i="27"/>
  <c r="I562" i="27"/>
  <c r="H562" i="27"/>
  <c r="C562" i="27"/>
  <c r="C563" i="27" s="1"/>
  <c r="O561" i="27"/>
  <c r="O559" i="27"/>
  <c r="O558" i="27"/>
  <c r="O557" i="27"/>
  <c r="O556" i="27"/>
  <c r="O555" i="27"/>
  <c r="O554" i="27"/>
  <c r="O553" i="27"/>
  <c r="O552" i="27"/>
  <c r="O551" i="27"/>
  <c r="O550" i="27"/>
  <c r="N549" i="27"/>
  <c r="M549" i="27"/>
  <c r="L549" i="27"/>
  <c r="K549" i="27"/>
  <c r="J549" i="27"/>
  <c r="I549" i="27"/>
  <c r="H549" i="27"/>
  <c r="N548" i="27"/>
  <c r="M548" i="27"/>
  <c r="L548" i="27"/>
  <c r="K548" i="27"/>
  <c r="J548" i="27"/>
  <c r="I548" i="27"/>
  <c r="H548" i="27"/>
  <c r="C548" i="27"/>
  <c r="C549" i="27" s="1"/>
  <c r="O547" i="27"/>
  <c r="O545" i="27"/>
  <c r="O544" i="27"/>
  <c r="O543" i="27"/>
  <c r="O542" i="27"/>
  <c r="O541" i="27"/>
  <c r="O540" i="27"/>
  <c r="O539" i="27"/>
  <c r="O538" i="27"/>
  <c r="O537" i="27"/>
  <c r="O536" i="27"/>
  <c r="N535" i="27"/>
  <c r="M535" i="27"/>
  <c r="L535" i="27"/>
  <c r="K535" i="27"/>
  <c r="J535" i="27"/>
  <c r="I535" i="27"/>
  <c r="H535" i="27"/>
  <c r="N534" i="27"/>
  <c r="M534" i="27"/>
  <c r="L534" i="27"/>
  <c r="K534" i="27"/>
  <c r="J534" i="27"/>
  <c r="I534" i="27"/>
  <c r="H534" i="27"/>
  <c r="C534" i="27"/>
  <c r="C535" i="27" s="1"/>
  <c r="O533" i="27"/>
  <c r="O531" i="27"/>
  <c r="O530" i="27"/>
  <c r="O529" i="27"/>
  <c r="O528" i="27"/>
  <c r="O527" i="27"/>
  <c r="O526" i="27"/>
  <c r="O525" i="27"/>
  <c r="O524" i="27"/>
  <c r="O523" i="27"/>
  <c r="O522" i="27"/>
  <c r="N521" i="27"/>
  <c r="M521" i="27"/>
  <c r="L521" i="27"/>
  <c r="K521" i="27"/>
  <c r="J521" i="27"/>
  <c r="I521" i="27"/>
  <c r="H521" i="27"/>
  <c r="C521" i="27"/>
  <c r="N520" i="27"/>
  <c r="M520" i="27"/>
  <c r="L520" i="27"/>
  <c r="K520" i="27"/>
  <c r="J520" i="27"/>
  <c r="I520" i="27"/>
  <c r="H520" i="27"/>
  <c r="C520" i="27"/>
  <c r="O519" i="27"/>
  <c r="O517" i="27"/>
  <c r="O516" i="27"/>
  <c r="O515" i="27"/>
  <c r="O514" i="27"/>
  <c r="O513" i="27"/>
  <c r="O512" i="27"/>
  <c r="O511" i="27"/>
  <c r="O510" i="27"/>
  <c r="O509" i="27"/>
  <c r="O508" i="27"/>
  <c r="O521" i="27" s="1"/>
  <c r="N507" i="27"/>
  <c r="M507" i="27"/>
  <c r="L507" i="27"/>
  <c r="K507" i="27"/>
  <c r="J507" i="27"/>
  <c r="I507" i="27"/>
  <c r="H507" i="27"/>
  <c r="N506" i="27"/>
  <c r="M506" i="27"/>
  <c r="L506" i="27"/>
  <c r="K506" i="27"/>
  <c r="J506" i="27"/>
  <c r="I506" i="27"/>
  <c r="H506" i="27"/>
  <c r="C506" i="27"/>
  <c r="C507" i="27" s="1"/>
  <c r="O505" i="27"/>
  <c r="O503" i="27"/>
  <c r="O502" i="27"/>
  <c r="O501" i="27"/>
  <c r="O500" i="27"/>
  <c r="O499" i="27"/>
  <c r="O498" i="27"/>
  <c r="O497" i="27"/>
  <c r="O496" i="27"/>
  <c r="O495" i="27"/>
  <c r="O494" i="27"/>
  <c r="N493" i="27"/>
  <c r="M493" i="27"/>
  <c r="L493" i="27"/>
  <c r="K493" i="27"/>
  <c r="J493" i="27"/>
  <c r="I493" i="27"/>
  <c r="H493" i="27"/>
  <c r="N492" i="27"/>
  <c r="M492" i="27"/>
  <c r="L492" i="27"/>
  <c r="K492" i="27"/>
  <c r="J492" i="27"/>
  <c r="I492" i="27"/>
  <c r="H492" i="27"/>
  <c r="C492" i="27"/>
  <c r="C493" i="27" s="1"/>
  <c r="O491" i="27"/>
  <c r="O489" i="27"/>
  <c r="O488" i="27"/>
  <c r="O487" i="27"/>
  <c r="O486" i="27"/>
  <c r="O485" i="27"/>
  <c r="O484" i="27"/>
  <c r="O483" i="27"/>
  <c r="O482" i="27"/>
  <c r="O481" i="27"/>
  <c r="O480" i="27"/>
  <c r="N479" i="27"/>
  <c r="M479" i="27"/>
  <c r="L479" i="27"/>
  <c r="K479" i="27"/>
  <c r="J479" i="27"/>
  <c r="I479" i="27"/>
  <c r="H479" i="27"/>
  <c r="N478" i="27"/>
  <c r="M478" i="27"/>
  <c r="L478" i="27"/>
  <c r="K478" i="27"/>
  <c r="J478" i="27"/>
  <c r="I478" i="27"/>
  <c r="H478" i="27"/>
  <c r="C478" i="27"/>
  <c r="C479" i="27" s="1"/>
  <c r="O477" i="27"/>
  <c r="O475" i="27"/>
  <c r="O474" i="27"/>
  <c r="O473" i="27"/>
  <c r="O472" i="27"/>
  <c r="O471" i="27"/>
  <c r="O470" i="27"/>
  <c r="O469" i="27"/>
  <c r="O468" i="27"/>
  <c r="O467" i="27"/>
  <c r="O466" i="27"/>
  <c r="N465" i="27"/>
  <c r="M465" i="27"/>
  <c r="L465" i="27"/>
  <c r="K465" i="27"/>
  <c r="J465" i="27"/>
  <c r="I465" i="27"/>
  <c r="H465" i="27"/>
  <c r="N464" i="27"/>
  <c r="M464" i="27"/>
  <c r="L464" i="27"/>
  <c r="K464" i="27"/>
  <c r="J464" i="27"/>
  <c r="I464" i="27"/>
  <c r="H464" i="27"/>
  <c r="C464" i="27"/>
  <c r="C465" i="27" s="1"/>
  <c r="O463" i="27"/>
  <c r="O461" i="27"/>
  <c r="O460" i="27"/>
  <c r="O459" i="27"/>
  <c r="O458" i="27"/>
  <c r="O457" i="27"/>
  <c r="O456" i="27"/>
  <c r="O455" i="27"/>
  <c r="O454" i="27"/>
  <c r="O453" i="27"/>
  <c r="O452" i="27"/>
  <c r="N451" i="27"/>
  <c r="M451" i="27"/>
  <c r="L451" i="27"/>
  <c r="K451" i="27"/>
  <c r="J451" i="27"/>
  <c r="I451" i="27"/>
  <c r="H451" i="27"/>
  <c r="N450" i="27"/>
  <c r="M450" i="27"/>
  <c r="L450" i="27"/>
  <c r="K450" i="27"/>
  <c r="J450" i="27"/>
  <c r="I450" i="27"/>
  <c r="H450" i="27"/>
  <c r="C450" i="27"/>
  <c r="C451" i="27" s="1"/>
  <c r="O449" i="27"/>
  <c r="O447" i="27"/>
  <c r="O446" i="27"/>
  <c r="O445" i="27"/>
  <c r="O444" i="27"/>
  <c r="O443" i="27"/>
  <c r="O442" i="27"/>
  <c r="O441" i="27"/>
  <c r="O440" i="27"/>
  <c r="O439" i="27"/>
  <c r="O438" i="27"/>
  <c r="N437" i="27"/>
  <c r="M437" i="27"/>
  <c r="L437" i="27"/>
  <c r="K437" i="27"/>
  <c r="J437" i="27"/>
  <c r="I437" i="27"/>
  <c r="H437" i="27"/>
  <c r="N436" i="27"/>
  <c r="M436" i="27"/>
  <c r="L436" i="27"/>
  <c r="K436" i="27"/>
  <c r="J436" i="27"/>
  <c r="I436" i="27"/>
  <c r="H436" i="27"/>
  <c r="C436" i="27"/>
  <c r="C437" i="27" s="1"/>
  <c r="O435" i="27"/>
  <c r="O433" i="27"/>
  <c r="O432" i="27"/>
  <c r="O431" i="27"/>
  <c r="O430" i="27"/>
  <c r="O429" i="27"/>
  <c r="O428" i="27"/>
  <c r="O427" i="27"/>
  <c r="O426" i="27"/>
  <c r="O425" i="27"/>
  <c r="O424" i="27"/>
  <c r="N423" i="27"/>
  <c r="M423" i="27"/>
  <c r="L423" i="27"/>
  <c r="K423" i="27"/>
  <c r="J423" i="27"/>
  <c r="I423" i="27"/>
  <c r="H423" i="27"/>
  <c r="N422" i="27"/>
  <c r="M422" i="27"/>
  <c r="L422" i="27"/>
  <c r="K422" i="27"/>
  <c r="J422" i="27"/>
  <c r="I422" i="27"/>
  <c r="H422" i="27"/>
  <c r="C422" i="27"/>
  <c r="C423" i="27" s="1"/>
  <c r="O421" i="27"/>
  <c r="O419" i="27"/>
  <c r="O418" i="27"/>
  <c r="O417" i="27"/>
  <c r="O416" i="27"/>
  <c r="O415" i="27"/>
  <c r="O414" i="27"/>
  <c r="O413" i="27"/>
  <c r="O412" i="27"/>
  <c r="O411" i="27"/>
  <c r="O410" i="27"/>
  <c r="N409" i="27"/>
  <c r="M409" i="27"/>
  <c r="L409" i="27"/>
  <c r="K409" i="27"/>
  <c r="J409" i="27"/>
  <c r="I409" i="27"/>
  <c r="H409" i="27"/>
  <c r="N408" i="27"/>
  <c r="M408" i="27"/>
  <c r="L408" i="27"/>
  <c r="K408" i="27"/>
  <c r="J408" i="27"/>
  <c r="I408" i="27"/>
  <c r="H408" i="27"/>
  <c r="C408" i="27"/>
  <c r="C409" i="27" s="1"/>
  <c r="O407" i="27"/>
  <c r="O405" i="27"/>
  <c r="O404" i="27"/>
  <c r="O403" i="27"/>
  <c r="O402" i="27"/>
  <c r="O401" i="27"/>
  <c r="O400" i="27"/>
  <c r="O399" i="27"/>
  <c r="O398" i="27"/>
  <c r="O397" i="27"/>
  <c r="O396" i="27"/>
  <c r="N395" i="27"/>
  <c r="M395" i="27"/>
  <c r="L395" i="27"/>
  <c r="K395" i="27"/>
  <c r="J395" i="27"/>
  <c r="I395" i="27"/>
  <c r="H395" i="27"/>
  <c r="N394" i="27"/>
  <c r="M394" i="27"/>
  <c r="L394" i="27"/>
  <c r="K394" i="27"/>
  <c r="J394" i="27"/>
  <c r="I394" i="27"/>
  <c r="H394" i="27"/>
  <c r="C394" i="27"/>
  <c r="C395" i="27" s="1"/>
  <c r="O393" i="27"/>
  <c r="O391" i="27"/>
  <c r="O390" i="27"/>
  <c r="O389" i="27"/>
  <c r="O388" i="27"/>
  <c r="O387" i="27"/>
  <c r="O386" i="27"/>
  <c r="O385" i="27"/>
  <c r="O384" i="27"/>
  <c r="O383" i="27"/>
  <c r="O382" i="27"/>
  <c r="N381" i="27"/>
  <c r="M381" i="27"/>
  <c r="L381" i="27"/>
  <c r="K381" i="27"/>
  <c r="J381" i="27"/>
  <c r="I381" i="27"/>
  <c r="H381" i="27"/>
  <c r="N380" i="27"/>
  <c r="M380" i="27"/>
  <c r="L380" i="27"/>
  <c r="K380" i="27"/>
  <c r="J380" i="27"/>
  <c r="I380" i="27"/>
  <c r="H380" i="27"/>
  <c r="C380" i="27"/>
  <c r="C381" i="27" s="1"/>
  <c r="O379" i="27"/>
  <c r="O377" i="27"/>
  <c r="O376" i="27"/>
  <c r="O375" i="27"/>
  <c r="O374" i="27"/>
  <c r="O373" i="27"/>
  <c r="O372" i="27"/>
  <c r="O371" i="27"/>
  <c r="O370" i="27"/>
  <c r="O369" i="27"/>
  <c r="O368" i="27"/>
  <c r="N367" i="27"/>
  <c r="M367" i="27"/>
  <c r="L367" i="27"/>
  <c r="K367" i="27"/>
  <c r="J367" i="27"/>
  <c r="I367" i="27"/>
  <c r="H367" i="27"/>
  <c r="N366" i="27"/>
  <c r="M366" i="27"/>
  <c r="L366" i="27"/>
  <c r="K366" i="27"/>
  <c r="J366" i="27"/>
  <c r="I366" i="27"/>
  <c r="H366" i="27"/>
  <c r="C366" i="27"/>
  <c r="C367" i="27" s="1"/>
  <c r="O365" i="27"/>
  <c r="O363" i="27"/>
  <c r="O362" i="27"/>
  <c r="O361" i="27"/>
  <c r="O360" i="27"/>
  <c r="O359" i="27"/>
  <c r="O358" i="27"/>
  <c r="O357" i="27"/>
  <c r="O356" i="27"/>
  <c r="O355" i="27"/>
  <c r="O354" i="27"/>
  <c r="N353" i="27"/>
  <c r="M353" i="27"/>
  <c r="L353" i="27"/>
  <c r="K353" i="27"/>
  <c r="J353" i="27"/>
  <c r="I353" i="27"/>
  <c r="H353" i="27"/>
  <c r="N352" i="27"/>
  <c r="M352" i="27"/>
  <c r="L352" i="27"/>
  <c r="K352" i="27"/>
  <c r="J352" i="27"/>
  <c r="I352" i="27"/>
  <c r="H352" i="27"/>
  <c r="C352" i="27"/>
  <c r="C353" i="27" s="1"/>
  <c r="O351" i="27"/>
  <c r="O349" i="27"/>
  <c r="O348" i="27"/>
  <c r="O347" i="27"/>
  <c r="O346" i="27"/>
  <c r="O345" i="27"/>
  <c r="O344" i="27"/>
  <c r="O343" i="27"/>
  <c r="O342" i="27"/>
  <c r="O341" i="27"/>
  <c r="O340" i="27"/>
  <c r="N339" i="27"/>
  <c r="M339" i="27"/>
  <c r="L339" i="27"/>
  <c r="K339" i="27"/>
  <c r="J339" i="27"/>
  <c r="I339" i="27"/>
  <c r="H339" i="27"/>
  <c r="N338" i="27"/>
  <c r="M338" i="27"/>
  <c r="L338" i="27"/>
  <c r="K338" i="27"/>
  <c r="J338" i="27"/>
  <c r="I338" i="27"/>
  <c r="H338" i="27"/>
  <c r="C338" i="27"/>
  <c r="C339" i="27" s="1"/>
  <c r="O337" i="27"/>
  <c r="O335" i="27"/>
  <c r="O334" i="27"/>
  <c r="O333" i="27"/>
  <c r="O332" i="27"/>
  <c r="O331" i="27"/>
  <c r="O330" i="27"/>
  <c r="O329" i="27"/>
  <c r="O328" i="27"/>
  <c r="O327" i="27"/>
  <c r="O326" i="27"/>
  <c r="N325" i="27"/>
  <c r="M325" i="27"/>
  <c r="L325" i="27"/>
  <c r="K325" i="27"/>
  <c r="J325" i="27"/>
  <c r="I325" i="27"/>
  <c r="H325" i="27"/>
  <c r="N324" i="27"/>
  <c r="M324" i="27"/>
  <c r="L324" i="27"/>
  <c r="K324" i="27"/>
  <c r="J324" i="27"/>
  <c r="I324" i="27"/>
  <c r="H324" i="27"/>
  <c r="C324" i="27"/>
  <c r="C325" i="27" s="1"/>
  <c r="O323" i="27"/>
  <c r="O321" i="27"/>
  <c r="O320" i="27"/>
  <c r="O319" i="27"/>
  <c r="O318" i="27"/>
  <c r="O317" i="27"/>
  <c r="O316" i="27"/>
  <c r="O315" i="27"/>
  <c r="O314" i="27"/>
  <c r="O313" i="27"/>
  <c r="O312" i="27"/>
  <c r="N311" i="27"/>
  <c r="M311" i="27"/>
  <c r="L311" i="27"/>
  <c r="K311" i="27"/>
  <c r="J311" i="27"/>
  <c r="I311" i="27"/>
  <c r="H311" i="27"/>
  <c r="N310" i="27"/>
  <c r="M310" i="27"/>
  <c r="L310" i="27"/>
  <c r="K310" i="27"/>
  <c r="J310" i="27"/>
  <c r="I310" i="27"/>
  <c r="H310" i="27"/>
  <c r="C310" i="27"/>
  <c r="C311" i="27" s="1"/>
  <c r="O309" i="27"/>
  <c r="O307" i="27"/>
  <c r="O306" i="27"/>
  <c r="O305" i="27"/>
  <c r="O304" i="27"/>
  <c r="O303" i="27"/>
  <c r="O302" i="27"/>
  <c r="O301" i="27"/>
  <c r="O300" i="27"/>
  <c r="O299" i="27"/>
  <c r="O298" i="27"/>
  <c r="N297" i="27"/>
  <c r="M297" i="27"/>
  <c r="L297" i="27"/>
  <c r="K297" i="27"/>
  <c r="J297" i="27"/>
  <c r="I297" i="27"/>
  <c r="H297" i="27"/>
  <c r="N296" i="27"/>
  <c r="M296" i="27"/>
  <c r="L296" i="27"/>
  <c r="K296" i="27"/>
  <c r="J296" i="27"/>
  <c r="I296" i="27"/>
  <c r="H296" i="27"/>
  <c r="C296" i="27"/>
  <c r="C297" i="27" s="1"/>
  <c r="O295" i="27"/>
  <c r="O293" i="27"/>
  <c r="O292" i="27"/>
  <c r="O291" i="27"/>
  <c r="O290" i="27"/>
  <c r="O289" i="27"/>
  <c r="O288" i="27"/>
  <c r="O287" i="27"/>
  <c r="O286" i="27"/>
  <c r="O285" i="27"/>
  <c r="O284" i="27"/>
  <c r="N283" i="27"/>
  <c r="M283" i="27"/>
  <c r="L283" i="27"/>
  <c r="K283" i="27"/>
  <c r="J283" i="27"/>
  <c r="I283" i="27"/>
  <c r="H283" i="27"/>
  <c r="N282" i="27"/>
  <c r="M282" i="27"/>
  <c r="L282" i="27"/>
  <c r="K282" i="27"/>
  <c r="J282" i="27"/>
  <c r="I282" i="27"/>
  <c r="H282" i="27"/>
  <c r="C282" i="27"/>
  <c r="C283" i="27" s="1"/>
  <c r="O281" i="27"/>
  <c r="O279" i="27"/>
  <c r="O278" i="27"/>
  <c r="O277" i="27"/>
  <c r="O276" i="27"/>
  <c r="O275" i="27"/>
  <c r="O274" i="27"/>
  <c r="O273" i="27"/>
  <c r="O272" i="27"/>
  <c r="O271" i="27"/>
  <c r="O270" i="27"/>
  <c r="N269" i="27"/>
  <c r="M269" i="27"/>
  <c r="L269" i="27"/>
  <c r="K269" i="27"/>
  <c r="J269" i="27"/>
  <c r="I269" i="27"/>
  <c r="H269" i="27"/>
  <c r="N268" i="27"/>
  <c r="M268" i="27"/>
  <c r="L268" i="27"/>
  <c r="K268" i="27"/>
  <c r="J268" i="27"/>
  <c r="I268" i="27"/>
  <c r="H268" i="27"/>
  <c r="C268" i="27"/>
  <c r="C269" i="27" s="1"/>
  <c r="O267" i="27"/>
  <c r="O265" i="27"/>
  <c r="O264" i="27"/>
  <c r="O263" i="27"/>
  <c r="O262" i="27"/>
  <c r="O261" i="27"/>
  <c r="O260" i="27"/>
  <c r="O259" i="27"/>
  <c r="O258" i="27"/>
  <c r="O257" i="27"/>
  <c r="O256" i="27"/>
  <c r="N255" i="27"/>
  <c r="M255" i="27"/>
  <c r="L255" i="27"/>
  <c r="K255" i="27"/>
  <c r="J255" i="27"/>
  <c r="I255" i="27"/>
  <c r="H255" i="27"/>
  <c r="N254" i="27"/>
  <c r="M254" i="27"/>
  <c r="L254" i="27"/>
  <c r="K254" i="27"/>
  <c r="J254" i="27"/>
  <c r="I254" i="27"/>
  <c r="H254" i="27"/>
  <c r="C254" i="27"/>
  <c r="C255" i="27" s="1"/>
  <c r="O253" i="27"/>
  <c r="O251" i="27"/>
  <c r="O250" i="27"/>
  <c r="O249" i="27"/>
  <c r="O248" i="27"/>
  <c r="O247" i="27"/>
  <c r="O246" i="27"/>
  <c r="O245" i="27"/>
  <c r="O244" i="27"/>
  <c r="O243" i="27"/>
  <c r="O242" i="27"/>
  <c r="N241" i="27"/>
  <c r="M241" i="27"/>
  <c r="L241" i="27"/>
  <c r="K241" i="27"/>
  <c r="J241" i="27"/>
  <c r="I241" i="27"/>
  <c r="H241" i="27"/>
  <c r="N240" i="27"/>
  <c r="M240" i="27"/>
  <c r="L240" i="27"/>
  <c r="K240" i="27"/>
  <c r="J240" i="27"/>
  <c r="I240" i="27"/>
  <c r="H240" i="27"/>
  <c r="C240" i="27"/>
  <c r="C241" i="27" s="1"/>
  <c r="O239" i="27"/>
  <c r="O237" i="27"/>
  <c r="O236" i="27"/>
  <c r="O235" i="27"/>
  <c r="O234" i="27"/>
  <c r="O233" i="27"/>
  <c r="O232" i="27"/>
  <c r="O231" i="27"/>
  <c r="O230" i="27"/>
  <c r="O229" i="27"/>
  <c r="O228" i="27"/>
  <c r="N227" i="27"/>
  <c r="M227" i="27"/>
  <c r="L227" i="27"/>
  <c r="K227" i="27"/>
  <c r="J227" i="27"/>
  <c r="I227" i="27"/>
  <c r="H227" i="27"/>
  <c r="N226" i="27"/>
  <c r="M226" i="27"/>
  <c r="L226" i="27"/>
  <c r="K226" i="27"/>
  <c r="J226" i="27"/>
  <c r="I226" i="27"/>
  <c r="H226" i="27"/>
  <c r="C226" i="27"/>
  <c r="C227" i="27" s="1"/>
  <c r="O225" i="27"/>
  <c r="O223" i="27"/>
  <c r="O222" i="27"/>
  <c r="O221" i="27"/>
  <c r="O220" i="27"/>
  <c r="O219" i="27"/>
  <c r="O218" i="27"/>
  <c r="O217" i="27"/>
  <c r="O216" i="27"/>
  <c r="O215" i="27"/>
  <c r="O214" i="27"/>
  <c r="N213" i="27"/>
  <c r="M213" i="27"/>
  <c r="L213" i="27"/>
  <c r="K213" i="27"/>
  <c r="J213" i="27"/>
  <c r="I213" i="27"/>
  <c r="H213" i="27"/>
  <c r="N212" i="27"/>
  <c r="M212" i="27"/>
  <c r="L212" i="27"/>
  <c r="K212" i="27"/>
  <c r="J212" i="27"/>
  <c r="I212" i="27"/>
  <c r="H212" i="27"/>
  <c r="C212" i="27"/>
  <c r="C213" i="27" s="1"/>
  <c r="O211" i="27"/>
  <c r="O209" i="27"/>
  <c r="O208" i="27"/>
  <c r="O207" i="27"/>
  <c r="O206" i="27"/>
  <c r="O205" i="27"/>
  <c r="O204" i="27"/>
  <c r="O203" i="27"/>
  <c r="O202" i="27"/>
  <c r="O201" i="27"/>
  <c r="O200" i="27"/>
  <c r="N199" i="27"/>
  <c r="M199" i="27"/>
  <c r="L199" i="27"/>
  <c r="K199" i="27"/>
  <c r="J199" i="27"/>
  <c r="I199" i="27"/>
  <c r="H199" i="27"/>
  <c r="N198" i="27"/>
  <c r="M198" i="27"/>
  <c r="L198" i="27"/>
  <c r="K198" i="27"/>
  <c r="J198" i="27"/>
  <c r="I198" i="27"/>
  <c r="H198" i="27"/>
  <c r="C198" i="27"/>
  <c r="C199" i="27" s="1"/>
  <c r="O197" i="27"/>
  <c r="O195" i="27"/>
  <c r="O194" i="27"/>
  <c r="O193" i="27"/>
  <c r="O192" i="27"/>
  <c r="O191" i="27"/>
  <c r="O190" i="27"/>
  <c r="O189" i="27"/>
  <c r="O188" i="27"/>
  <c r="O187" i="27"/>
  <c r="O186" i="27"/>
  <c r="N185" i="27"/>
  <c r="M185" i="27"/>
  <c r="L185" i="27"/>
  <c r="K185" i="27"/>
  <c r="J185" i="27"/>
  <c r="I185" i="27"/>
  <c r="H185" i="27"/>
  <c r="N184" i="27"/>
  <c r="M184" i="27"/>
  <c r="L184" i="27"/>
  <c r="K184" i="27"/>
  <c r="J184" i="27"/>
  <c r="I184" i="27"/>
  <c r="H184" i="27"/>
  <c r="C184" i="27"/>
  <c r="C185" i="27" s="1"/>
  <c r="O183" i="27"/>
  <c r="O181" i="27"/>
  <c r="O180" i="27"/>
  <c r="O179" i="27"/>
  <c r="O178" i="27"/>
  <c r="O177" i="27"/>
  <c r="O176" i="27"/>
  <c r="O175" i="27"/>
  <c r="O174" i="27"/>
  <c r="O173" i="27"/>
  <c r="O172" i="27"/>
  <c r="N171" i="27"/>
  <c r="M171" i="27"/>
  <c r="L171" i="27"/>
  <c r="K171" i="27"/>
  <c r="J171" i="27"/>
  <c r="I171" i="27"/>
  <c r="H171" i="27"/>
  <c r="N170" i="27"/>
  <c r="M170" i="27"/>
  <c r="L170" i="27"/>
  <c r="K170" i="27"/>
  <c r="J170" i="27"/>
  <c r="I170" i="27"/>
  <c r="H170" i="27"/>
  <c r="C170" i="27"/>
  <c r="C171" i="27" s="1"/>
  <c r="O169" i="27"/>
  <c r="O167" i="27"/>
  <c r="O166" i="27"/>
  <c r="O165" i="27"/>
  <c r="O164" i="27"/>
  <c r="O163" i="27"/>
  <c r="O162" i="27"/>
  <c r="O161" i="27"/>
  <c r="O160" i="27"/>
  <c r="O159" i="27"/>
  <c r="O158" i="27"/>
  <c r="N157" i="27"/>
  <c r="M157" i="27"/>
  <c r="L157" i="27"/>
  <c r="K157" i="27"/>
  <c r="J157" i="27"/>
  <c r="I157" i="27"/>
  <c r="H157" i="27"/>
  <c r="N156" i="27"/>
  <c r="M156" i="27"/>
  <c r="L156" i="27"/>
  <c r="K156" i="27"/>
  <c r="J156" i="27"/>
  <c r="I156" i="27"/>
  <c r="H156" i="27"/>
  <c r="C156" i="27"/>
  <c r="C157" i="27" s="1"/>
  <c r="O155" i="27"/>
  <c r="O153" i="27"/>
  <c r="O152" i="27"/>
  <c r="O151" i="27"/>
  <c r="O150" i="27"/>
  <c r="O149" i="27"/>
  <c r="O148" i="27"/>
  <c r="O147" i="27"/>
  <c r="O146" i="27"/>
  <c r="O145" i="27"/>
  <c r="O144" i="27"/>
  <c r="N143" i="27"/>
  <c r="M143" i="27"/>
  <c r="L143" i="27"/>
  <c r="K143" i="27"/>
  <c r="J143" i="27"/>
  <c r="I143" i="27"/>
  <c r="H143" i="27"/>
  <c r="N142" i="27"/>
  <c r="M142" i="27"/>
  <c r="L142" i="27"/>
  <c r="K142" i="27"/>
  <c r="J142" i="27"/>
  <c r="I142" i="27"/>
  <c r="H142" i="27"/>
  <c r="C142" i="27"/>
  <c r="C143" i="27" s="1"/>
  <c r="O141" i="27"/>
  <c r="O139" i="27"/>
  <c r="O138" i="27"/>
  <c r="O137" i="27"/>
  <c r="O136" i="27"/>
  <c r="O135" i="27"/>
  <c r="O134" i="27"/>
  <c r="O133" i="27"/>
  <c r="O132" i="27"/>
  <c r="O131" i="27"/>
  <c r="O130" i="27"/>
  <c r="N129" i="27"/>
  <c r="M129" i="27"/>
  <c r="L129" i="27"/>
  <c r="K129" i="27"/>
  <c r="J129" i="27"/>
  <c r="I129" i="27"/>
  <c r="H129" i="27"/>
  <c r="N128" i="27"/>
  <c r="M128" i="27"/>
  <c r="L128" i="27"/>
  <c r="K128" i="27"/>
  <c r="J128" i="27"/>
  <c r="I128" i="27"/>
  <c r="H128" i="27"/>
  <c r="C128" i="27"/>
  <c r="C129" i="27" s="1"/>
  <c r="O127" i="27"/>
  <c r="O125" i="27"/>
  <c r="O124" i="27"/>
  <c r="O123" i="27"/>
  <c r="O122" i="27"/>
  <c r="O121" i="27"/>
  <c r="O120" i="27"/>
  <c r="O119" i="27"/>
  <c r="O118" i="27"/>
  <c r="O117" i="27"/>
  <c r="O116" i="27"/>
  <c r="N115" i="27"/>
  <c r="M115" i="27"/>
  <c r="L115" i="27"/>
  <c r="K115" i="27"/>
  <c r="J115" i="27"/>
  <c r="I115" i="27"/>
  <c r="H115" i="27"/>
  <c r="N114" i="27"/>
  <c r="M114" i="27"/>
  <c r="L114" i="27"/>
  <c r="K114" i="27"/>
  <c r="J114" i="27"/>
  <c r="I114" i="27"/>
  <c r="H114" i="27"/>
  <c r="C114" i="27"/>
  <c r="C115" i="27" s="1"/>
  <c r="O113" i="27"/>
  <c r="O111" i="27"/>
  <c r="O110" i="27"/>
  <c r="O109" i="27"/>
  <c r="O108" i="27"/>
  <c r="O107" i="27"/>
  <c r="O106" i="27"/>
  <c r="O105" i="27"/>
  <c r="O104" i="27"/>
  <c r="O103" i="27"/>
  <c r="O102" i="27"/>
  <c r="N101" i="27"/>
  <c r="M101" i="27"/>
  <c r="L101" i="27"/>
  <c r="K101" i="27"/>
  <c r="J101" i="27"/>
  <c r="I101" i="27"/>
  <c r="H101" i="27"/>
  <c r="N100" i="27"/>
  <c r="M100" i="27"/>
  <c r="L100" i="27"/>
  <c r="K100" i="27"/>
  <c r="J100" i="27"/>
  <c r="I100" i="27"/>
  <c r="H100" i="27"/>
  <c r="C100" i="27"/>
  <c r="C101" i="27" s="1"/>
  <c r="O99" i="27"/>
  <c r="O97" i="27"/>
  <c r="O96" i="27"/>
  <c r="O95" i="27"/>
  <c r="O94" i="27"/>
  <c r="O93" i="27"/>
  <c r="O92" i="27"/>
  <c r="O91" i="27"/>
  <c r="O90" i="27"/>
  <c r="O89" i="27"/>
  <c r="O88" i="27"/>
  <c r="N87" i="27"/>
  <c r="M87" i="27"/>
  <c r="L87" i="27"/>
  <c r="K87" i="27"/>
  <c r="J87" i="27"/>
  <c r="I87" i="27"/>
  <c r="H87" i="27"/>
  <c r="N86" i="27"/>
  <c r="M86" i="27"/>
  <c r="L86" i="27"/>
  <c r="K86" i="27"/>
  <c r="J86" i="27"/>
  <c r="I86" i="27"/>
  <c r="H86" i="27"/>
  <c r="C86" i="27"/>
  <c r="C87" i="27" s="1"/>
  <c r="O85" i="27"/>
  <c r="O83" i="27"/>
  <c r="O82" i="27"/>
  <c r="O81" i="27"/>
  <c r="O80" i="27"/>
  <c r="O79" i="27"/>
  <c r="O78" i="27"/>
  <c r="O77" i="27"/>
  <c r="O76" i="27"/>
  <c r="O75" i="27"/>
  <c r="O74" i="27"/>
  <c r="N73" i="27"/>
  <c r="M73" i="27"/>
  <c r="L73" i="27"/>
  <c r="K73" i="27"/>
  <c r="J73" i="27"/>
  <c r="I73" i="27"/>
  <c r="H73" i="27"/>
  <c r="N72" i="27"/>
  <c r="M72" i="27"/>
  <c r="L72" i="27"/>
  <c r="K72" i="27"/>
  <c r="J72" i="27"/>
  <c r="I72" i="27"/>
  <c r="H72" i="27"/>
  <c r="C72" i="27"/>
  <c r="C73" i="27" s="1"/>
  <c r="O71" i="27"/>
  <c r="O69" i="27"/>
  <c r="O68" i="27"/>
  <c r="O67" i="27"/>
  <c r="O66" i="27"/>
  <c r="O65" i="27"/>
  <c r="O64" i="27"/>
  <c r="O63" i="27"/>
  <c r="O62" i="27"/>
  <c r="O61" i="27"/>
  <c r="O60" i="27"/>
  <c r="N59" i="27"/>
  <c r="M59" i="27"/>
  <c r="L59" i="27"/>
  <c r="K59" i="27"/>
  <c r="J59" i="27"/>
  <c r="I59" i="27"/>
  <c r="H59" i="27"/>
  <c r="N58" i="27"/>
  <c r="M58" i="27"/>
  <c r="L58" i="27"/>
  <c r="K58" i="27"/>
  <c r="J58" i="27"/>
  <c r="I58" i="27"/>
  <c r="H58" i="27"/>
  <c r="C58" i="27"/>
  <c r="C59" i="27" s="1"/>
  <c r="O57" i="27"/>
  <c r="O55" i="27"/>
  <c r="O54" i="27"/>
  <c r="O53" i="27"/>
  <c r="O52" i="27"/>
  <c r="O51" i="27"/>
  <c r="O50" i="27"/>
  <c r="O49" i="27"/>
  <c r="O48" i="27"/>
  <c r="O47" i="27"/>
  <c r="O46" i="27"/>
  <c r="N45" i="27"/>
  <c r="M45" i="27"/>
  <c r="L45" i="27"/>
  <c r="K45" i="27"/>
  <c r="J45" i="27"/>
  <c r="I45" i="27"/>
  <c r="H45" i="27"/>
  <c r="N44" i="27"/>
  <c r="M44" i="27"/>
  <c r="L44" i="27"/>
  <c r="K44" i="27"/>
  <c r="J44" i="27"/>
  <c r="I44" i="27"/>
  <c r="H44" i="27"/>
  <c r="C44" i="27"/>
  <c r="C45" i="27" s="1"/>
  <c r="O43" i="27"/>
  <c r="O41" i="27"/>
  <c r="O40" i="27"/>
  <c r="O39" i="27"/>
  <c r="O38" i="27"/>
  <c r="O37" i="27"/>
  <c r="O36" i="27"/>
  <c r="O35" i="27"/>
  <c r="O34" i="27"/>
  <c r="O33" i="27"/>
  <c r="O32" i="27"/>
  <c r="N31" i="27"/>
  <c r="M31" i="27"/>
  <c r="L31" i="27"/>
  <c r="K31" i="27"/>
  <c r="J31" i="27"/>
  <c r="I31" i="27"/>
  <c r="H31" i="27"/>
  <c r="N30" i="27"/>
  <c r="M30" i="27"/>
  <c r="L30" i="27"/>
  <c r="K30" i="27"/>
  <c r="J30" i="27"/>
  <c r="I30" i="27"/>
  <c r="H30" i="27"/>
  <c r="C30" i="27"/>
  <c r="C31" i="27" s="1"/>
  <c r="O29" i="27"/>
  <c r="O27" i="27"/>
  <c r="O26" i="27"/>
  <c r="O25" i="27"/>
  <c r="O24" i="27"/>
  <c r="O23" i="27"/>
  <c r="O22" i="27"/>
  <c r="O21" i="27"/>
  <c r="O20" i="27"/>
  <c r="O19" i="27"/>
  <c r="O18" i="27"/>
  <c r="N17" i="27"/>
  <c r="M17" i="27"/>
  <c r="L17" i="27"/>
  <c r="K17" i="27"/>
  <c r="J17" i="27"/>
  <c r="I17" i="27"/>
  <c r="H17" i="27"/>
  <c r="N16" i="27"/>
  <c r="M16" i="27"/>
  <c r="L16" i="27"/>
  <c r="K16" i="27"/>
  <c r="J16" i="27"/>
  <c r="I16" i="27"/>
  <c r="H16" i="27"/>
  <c r="C16" i="27"/>
  <c r="C17" i="27" s="1"/>
  <c r="O15" i="27"/>
  <c r="O13" i="27"/>
  <c r="O12" i="27"/>
  <c r="O11" i="27"/>
  <c r="O10" i="27"/>
  <c r="O9" i="27"/>
  <c r="O8" i="27"/>
  <c r="O7" i="27"/>
  <c r="O6" i="27"/>
  <c r="O5" i="27"/>
  <c r="O4" i="27"/>
  <c r="AH13" i="18"/>
  <c r="AH13" i="23" s="1"/>
  <c r="AF13" i="18"/>
  <c r="AF13" i="23" s="1"/>
  <c r="AD13" i="18"/>
  <c r="Z13" i="18"/>
  <c r="Z13" i="23" s="1"/>
  <c r="X13" i="18"/>
  <c r="X13" i="23" s="1"/>
  <c r="V13" i="18"/>
  <c r="V13" i="23" s="1"/>
  <c r="P13" i="18"/>
  <c r="P13" i="23" s="1"/>
  <c r="AH12" i="18"/>
  <c r="AH12" i="23" s="1"/>
  <c r="AF12" i="18"/>
  <c r="AF12" i="23" s="1"/>
  <c r="AD12" i="18"/>
  <c r="Z12" i="18"/>
  <c r="Z12" i="23" s="1"/>
  <c r="X12" i="18"/>
  <c r="V12" i="18"/>
  <c r="V12" i="23" s="1"/>
  <c r="P12" i="18"/>
  <c r="P12" i="23" s="1"/>
  <c r="AH11" i="18"/>
  <c r="AH11" i="23" s="1"/>
  <c r="AF11" i="18"/>
  <c r="AF11" i="23" s="1"/>
  <c r="AD11" i="18"/>
  <c r="Z11" i="18"/>
  <c r="Z11" i="23" s="1"/>
  <c r="X11" i="18"/>
  <c r="X11" i="23" s="1"/>
  <c r="V11" i="18"/>
  <c r="V11" i="23" s="1"/>
  <c r="P11" i="18"/>
  <c r="AH10" i="18"/>
  <c r="AH10" i="23" s="1"/>
  <c r="AF10" i="18"/>
  <c r="AF10" i="23" s="1"/>
  <c r="AD10" i="18"/>
  <c r="Z10" i="18"/>
  <c r="Z10" i="23" s="1"/>
  <c r="X10" i="18"/>
  <c r="X10" i="23" s="1"/>
  <c r="V10" i="18"/>
  <c r="V10" i="23" s="1"/>
  <c r="P10" i="18"/>
  <c r="P10" i="23" s="1"/>
  <c r="AH9" i="18"/>
  <c r="AH9" i="23" s="1"/>
  <c r="AF9" i="18"/>
  <c r="AF9" i="23" s="1"/>
  <c r="AD9" i="18"/>
  <c r="Z9" i="18"/>
  <c r="Z9" i="23" s="1"/>
  <c r="X9" i="18"/>
  <c r="V9" i="18"/>
  <c r="V9" i="23" s="1"/>
  <c r="P9" i="18"/>
  <c r="P9" i="23" s="1"/>
  <c r="AH8" i="18"/>
  <c r="AH8" i="23" s="1"/>
  <c r="AF8" i="18"/>
  <c r="AF8" i="23" s="1"/>
  <c r="AD8" i="18"/>
  <c r="Z8" i="18"/>
  <c r="Z8" i="23" s="1"/>
  <c r="X8" i="18"/>
  <c r="V8" i="18"/>
  <c r="V8" i="23" s="1"/>
  <c r="P8" i="18"/>
  <c r="P8" i="23" s="1"/>
  <c r="AH14" i="18"/>
  <c r="AH14" i="23" s="1"/>
  <c r="AF14" i="18"/>
  <c r="AF14" i="23" s="1"/>
  <c r="AD14" i="18"/>
  <c r="Z14" i="18"/>
  <c r="Z14" i="23" s="1"/>
  <c r="X14" i="18"/>
  <c r="X14" i="23" s="1"/>
  <c r="V14" i="18"/>
  <c r="V14" i="23" s="1"/>
  <c r="P14" i="18"/>
  <c r="P14" i="23" s="1"/>
  <c r="AH7" i="18"/>
  <c r="AH7" i="23" s="1"/>
  <c r="AF7" i="18"/>
  <c r="AF7" i="23" s="1"/>
  <c r="AD7" i="18"/>
  <c r="Z7" i="18"/>
  <c r="Z7" i="23" s="1"/>
  <c r="X7" i="18"/>
  <c r="V7" i="18"/>
  <c r="V7" i="23" s="1"/>
  <c r="P7" i="18"/>
  <c r="AH6" i="18"/>
  <c r="AH6" i="23" s="1"/>
  <c r="AF6" i="18"/>
  <c r="AF6" i="23" s="1"/>
  <c r="AD6" i="18"/>
  <c r="AD6" i="23" s="1"/>
  <c r="Z6" i="18"/>
  <c r="Z6" i="23" s="1"/>
  <c r="X6" i="18"/>
  <c r="X6" i="23" s="1"/>
  <c r="V6" i="18"/>
  <c r="V6" i="23" s="1"/>
  <c r="P6" i="18"/>
  <c r="P6" i="23" s="1"/>
  <c r="AD12" i="23"/>
  <c r="AD11" i="23"/>
  <c r="P11" i="23"/>
  <c r="AD9" i="23"/>
  <c r="X9" i="23"/>
  <c r="AD8" i="23"/>
  <c r="AD14" i="23"/>
  <c r="X7" i="23"/>
  <c r="P7" i="23"/>
  <c r="N227" i="25"/>
  <c r="M227" i="25"/>
  <c r="L227" i="25"/>
  <c r="K227" i="25"/>
  <c r="J227" i="25"/>
  <c r="I227" i="25"/>
  <c r="H227" i="25"/>
  <c r="N226" i="25"/>
  <c r="M226" i="25"/>
  <c r="L226" i="25"/>
  <c r="K226" i="25"/>
  <c r="J226" i="25"/>
  <c r="I226" i="25"/>
  <c r="H226" i="25"/>
  <c r="O225" i="25"/>
  <c r="O223" i="25"/>
  <c r="O222" i="25"/>
  <c r="O221" i="25"/>
  <c r="O220" i="25"/>
  <c r="O219" i="25"/>
  <c r="O218" i="25"/>
  <c r="O217" i="25"/>
  <c r="O216" i="25"/>
  <c r="O215" i="25"/>
  <c r="O214" i="25"/>
  <c r="N213" i="25"/>
  <c r="M213" i="25"/>
  <c r="L213" i="25"/>
  <c r="K213" i="25"/>
  <c r="J213" i="25"/>
  <c r="I213" i="25"/>
  <c r="H213" i="25"/>
  <c r="N212" i="25"/>
  <c r="M212" i="25"/>
  <c r="L212" i="25"/>
  <c r="K212" i="25"/>
  <c r="J212" i="25"/>
  <c r="I212" i="25"/>
  <c r="H212" i="25"/>
  <c r="O211" i="25"/>
  <c r="O209" i="25"/>
  <c r="O208" i="25"/>
  <c r="O207" i="25"/>
  <c r="O206" i="25"/>
  <c r="O205" i="25"/>
  <c r="O204" i="25"/>
  <c r="O203" i="25"/>
  <c r="O202" i="25"/>
  <c r="O201" i="25"/>
  <c r="O200" i="25"/>
  <c r="N199" i="25"/>
  <c r="M199" i="25"/>
  <c r="L199" i="25"/>
  <c r="K199" i="25"/>
  <c r="J199" i="25"/>
  <c r="I199" i="25"/>
  <c r="H199" i="25"/>
  <c r="N198" i="25"/>
  <c r="M198" i="25"/>
  <c r="L198" i="25"/>
  <c r="K198" i="25"/>
  <c r="J198" i="25"/>
  <c r="I198" i="25"/>
  <c r="H198" i="25"/>
  <c r="O197" i="25"/>
  <c r="O195" i="25"/>
  <c r="O194" i="25"/>
  <c r="O193" i="25"/>
  <c r="O192" i="25"/>
  <c r="O191" i="25"/>
  <c r="O190" i="25"/>
  <c r="O189" i="25"/>
  <c r="O188" i="25"/>
  <c r="O187" i="25"/>
  <c r="O186" i="25"/>
  <c r="N185" i="25"/>
  <c r="M185" i="25"/>
  <c r="L185" i="25"/>
  <c r="K185" i="25"/>
  <c r="J185" i="25"/>
  <c r="I185" i="25"/>
  <c r="H185" i="25"/>
  <c r="N184" i="25"/>
  <c r="M184" i="25"/>
  <c r="L184" i="25"/>
  <c r="K184" i="25"/>
  <c r="J184" i="25"/>
  <c r="I184" i="25"/>
  <c r="H184" i="25"/>
  <c r="O183" i="25"/>
  <c r="O181" i="25"/>
  <c r="O180" i="25"/>
  <c r="O179" i="25"/>
  <c r="O178" i="25"/>
  <c r="O177" i="25"/>
  <c r="O176" i="25"/>
  <c r="O175" i="25"/>
  <c r="O174" i="25"/>
  <c r="O173" i="25"/>
  <c r="O172" i="25"/>
  <c r="N171" i="25"/>
  <c r="M171" i="25"/>
  <c r="L171" i="25"/>
  <c r="K171" i="25"/>
  <c r="J171" i="25"/>
  <c r="I171" i="25"/>
  <c r="H171" i="25"/>
  <c r="N170" i="25"/>
  <c r="M170" i="25"/>
  <c r="L170" i="25"/>
  <c r="K170" i="25"/>
  <c r="J170" i="25"/>
  <c r="I170" i="25"/>
  <c r="H170" i="25"/>
  <c r="O169" i="25"/>
  <c r="O167" i="25"/>
  <c r="O166" i="25"/>
  <c r="O165" i="25"/>
  <c r="O164" i="25"/>
  <c r="O163" i="25"/>
  <c r="O162" i="25"/>
  <c r="O161" i="25"/>
  <c r="O160" i="25"/>
  <c r="O159" i="25"/>
  <c r="O158" i="25"/>
  <c r="N157" i="25"/>
  <c r="M157" i="25"/>
  <c r="L157" i="25"/>
  <c r="K157" i="25"/>
  <c r="J157" i="25"/>
  <c r="I157" i="25"/>
  <c r="H157" i="25"/>
  <c r="N156" i="25"/>
  <c r="M156" i="25"/>
  <c r="L156" i="25"/>
  <c r="K156" i="25"/>
  <c r="J156" i="25"/>
  <c r="I156" i="25"/>
  <c r="H156" i="25"/>
  <c r="O155" i="25"/>
  <c r="O153" i="25"/>
  <c r="O152" i="25"/>
  <c r="O151" i="25"/>
  <c r="O150" i="25"/>
  <c r="O149" i="25"/>
  <c r="O148" i="25"/>
  <c r="O147" i="25"/>
  <c r="O146" i="25"/>
  <c r="O145" i="25"/>
  <c r="O144" i="25"/>
  <c r="N143" i="25"/>
  <c r="M143" i="25"/>
  <c r="L143" i="25"/>
  <c r="K143" i="25"/>
  <c r="J143" i="25"/>
  <c r="I143" i="25"/>
  <c r="H143" i="25"/>
  <c r="N142" i="25"/>
  <c r="M142" i="25"/>
  <c r="L142" i="25"/>
  <c r="K142" i="25"/>
  <c r="J142" i="25"/>
  <c r="I142" i="25"/>
  <c r="H142" i="25"/>
  <c r="O141" i="25"/>
  <c r="O139" i="25"/>
  <c r="O138" i="25"/>
  <c r="O137" i="25"/>
  <c r="O136" i="25"/>
  <c r="O135" i="25"/>
  <c r="O134" i="25"/>
  <c r="O133" i="25"/>
  <c r="O132" i="25"/>
  <c r="O131" i="25"/>
  <c r="O130" i="25"/>
  <c r="N129" i="25"/>
  <c r="M129" i="25"/>
  <c r="L129" i="25"/>
  <c r="K129" i="25"/>
  <c r="J129" i="25"/>
  <c r="I129" i="25"/>
  <c r="H129" i="25"/>
  <c r="N128" i="25"/>
  <c r="M128" i="25"/>
  <c r="L128" i="25"/>
  <c r="K128" i="25"/>
  <c r="J128" i="25"/>
  <c r="I128" i="25"/>
  <c r="H128" i="25"/>
  <c r="O127" i="25"/>
  <c r="O125" i="25"/>
  <c r="O124" i="25"/>
  <c r="O123" i="25"/>
  <c r="O122" i="25"/>
  <c r="O121" i="25"/>
  <c r="O120" i="25"/>
  <c r="O119" i="25"/>
  <c r="O118" i="25"/>
  <c r="O117" i="25"/>
  <c r="O116" i="25"/>
  <c r="N115" i="25"/>
  <c r="M115" i="25"/>
  <c r="L115" i="25"/>
  <c r="K115" i="25"/>
  <c r="J115" i="25"/>
  <c r="I115" i="25"/>
  <c r="H115" i="25"/>
  <c r="N114" i="25"/>
  <c r="M114" i="25"/>
  <c r="L114" i="25"/>
  <c r="K114" i="25"/>
  <c r="J114" i="25"/>
  <c r="I114" i="25"/>
  <c r="H114" i="25"/>
  <c r="O113" i="25"/>
  <c r="O111" i="25"/>
  <c r="O110" i="25"/>
  <c r="O109" i="25"/>
  <c r="O108" i="25"/>
  <c r="O107" i="25"/>
  <c r="O106" i="25"/>
  <c r="O105" i="25"/>
  <c r="O104" i="25"/>
  <c r="O103" i="25"/>
  <c r="O102" i="25"/>
  <c r="N101" i="25"/>
  <c r="M101" i="25"/>
  <c r="L101" i="25"/>
  <c r="K101" i="25"/>
  <c r="J101" i="25"/>
  <c r="I101" i="25"/>
  <c r="H101" i="25"/>
  <c r="N100" i="25"/>
  <c r="M100" i="25"/>
  <c r="L100" i="25"/>
  <c r="K100" i="25"/>
  <c r="J100" i="25"/>
  <c r="I100" i="25"/>
  <c r="H100" i="25"/>
  <c r="O99" i="25"/>
  <c r="O97" i="25"/>
  <c r="O96" i="25"/>
  <c r="O95" i="25"/>
  <c r="O94" i="25"/>
  <c r="O93" i="25"/>
  <c r="O92" i="25"/>
  <c r="O91" i="25"/>
  <c r="O90" i="25"/>
  <c r="O89" i="25"/>
  <c r="O88" i="25"/>
  <c r="N87" i="25"/>
  <c r="M87" i="25"/>
  <c r="L87" i="25"/>
  <c r="K87" i="25"/>
  <c r="J87" i="25"/>
  <c r="I87" i="25"/>
  <c r="H87" i="25"/>
  <c r="N86" i="25"/>
  <c r="M86" i="25"/>
  <c r="L86" i="25"/>
  <c r="K86" i="25"/>
  <c r="J86" i="25"/>
  <c r="I86" i="25"/>
  <c r="H86" i="25"/>
  <c r="O85" i="25"/>
  <c r="O83" i="25"/>
  <c r="O82" i="25"/>
  <c r="O81" i="25"/>
  <c r="O80" i="25"/>
  <c r="O79" i="25"/>
  <c r="O78" i="25"/>
  <c r="O77" i="25"/>
  <c r="O76" i="25"/>
  <c r="O75" i="25"/>
  <c r="O74" i="25"/>
  <c r="N73" i="25"/>
  <c r="M73" i="25"/>
  <c r="L73" i="25"/>
  <c r="K73" i="25"/>
  <c r="J73" i="25"/>
  <c r="I73" i="25"/>
  <c r="H73" i="25"/>
  <c r="N72" i="25"/>
  <c r="M72" i="25"/>
  <c r="L72" i="25"/>
  <c r="K72" i="25"/>
  <c r="J72" i="25"/>
  <c r="I72" i="25"/>
  <c r="H72" i="25"/>
  <c r="O71" i="25"/>
  <c r="O69" i="25"/>
  <c r="O68" i="25"/>
  <c r="O67" i="25"/>
  <c r="O66" i="25"/>
  <c r="O65" i="25"/>
  <c r="O64" i="25"/>
  <c r="O63" i="25"/>
  <c r="O62" i="25"/>
  <c r="O61" i="25"/>
  <c r="O60" i="25"/>
  <c r="N59" i="25"/>
  <c r="M59" i="25"/>
  <c r="L59" i="25"/>
  <c r="K59" i="25"/>
  <c r="J59" i="25"/>
  <c r="I59" i="25"/>
  <c r="H59" i="25"/>
  <c r="N58" i="25"/>
  <c r="M58" i="25"/>
  <c r="L58" i="25"/>
  <c r="K58" i="25"/>
  <c r="J58" i="25"/>
  <c r="I58" i="25"/>
  <c r="H58" i="25"/>
  <c r="O57" i="25"/>
  <c r="O55" i="25"/>
  <c r="O54" i="25"/>
  <c r="O53" i="25"/>
  <c r="O52" i="25"/>
  <c r="O51" i="25"/>
  <c r="O50" i="25"/>
  <c r="O49" i="25"/>
  <c r="O48" i="25"/>
  <c r="O47" i="25"/>
  <c r="O46" i="25"/>
  <c r="N45" i="25"/>
  <c r="M45" i="25"/>
  <c r="L45" i="25"/>
  <c r="K45" i="25"/>
  <c r="J45" i="25"/>
  <c r="I45" i="25"/>
  <c r="H45" i="25"/>
  <c r="N44" i="25"/>
  <c r="M44" i="25"/>
  <c r="L44" i="25"/>
  <c r="K44" i="25"/>
  <c r="J44" i="25"/>
  <c r="I44" i="25"/>
  <c r="H44" i="25"/>
  <c r="O43" i="25"/>
  <c r="O41" i="25"/>
  <c r="O40" i="25"/>
  <c r="O39" i="25"/>
  <c r="O38" i="25"/>
  <c r="O37" i="25"/>
  <c r="O36" i="25"/>
  <c r="O35" i="25"/>
  <c r="O34" i="25"/>
  <c r="O33" i="25"/>
  <c r="O32" i="25"/>
  <c r="N17" i="25"/>
  <c r="M17" i="25"/>
  <c r="L17" i="25"/>
  <c r="K17" i="25"/>
  <c r="J17" i="25"/>
  <c r="I17" i="25"/>
  <c r="H17" i="25"/>
  <c r="N16" i="25"/>
  <c r="M16" i="25"/>
  <c r="L16" i="25"/>
  <c r="K16" i="25"/>
  <c r="J16" i="25"/>
  <c r="I16" i="25"/>
  <c r="H16" i="25"/>
  <c r="O15" i="25"/>
  <c r="O13" i="25"/>
  <c r="O12" i="25"/>
  <c r="O11" i="25"/>
  <c r="O10" i="25"/>
  <c r="O9" i="25"/>
  <c r="O8" i="25"/>
  <c r="O7" i="25"/>
  <c r="O6" i="25"/>
  <c r="O5" i="25"/>
  <c r="O4" i="25"/>
  <c r="AD7" i="23" l="1"/>
  <c r="AD10" i="23"/>
  <c r="AD13" i="23"/>
  <c r="X8" i="23"/>
  <c r="X12" i="23"/>
  <c r="P20" i="23"/>
  <c r="D63" i="20"/>
  <c r="D5" i="23"/>
  <c r="J5" i="23" s="1"/>
  <c r="F20" i="12"/>
  <c r="O131" i="26"/>
  <c r="O132" i="26"/>
  <c r="O133" i="26"/>
  <c r="O134" i="26"/>
  <c r="O135" i="26"/>
  <c r="O136" i="26"/>
  <c r="O137" i="26"/>
  <c r="O138" i="26"/>
  <c r="O139" i="26"/>
  <c r="O141" i="26"/>
  <c r="Z20" i="12"/>
  <c r="AF5" i="18"/>
  <c r="AF5" i="23" s="1"/>
  <c r="AH5" i="18"/>
  <c r="AH5" i="23" s="1"/>
  <c r="D12" i="23"/>
  <c r="D13" i="23"/>
  <c r="P5" i="18"/>
  <c r="V5" i="18"/>
  <c r="V5" i="23" s="1"/>
  <c r="X5" i="18"/>
  <c r="Z5" i="18"/>
  <c r="Z5" i="23" s="1"/>
  <c r="AD5" i="18"/>
  <c r="AD5" i="23" s="1"/>
  <c r="O16" i="28"/>
  <c r="O17" i="28" s="1"/>
  <c r="O16" i="27"/>
  <c r="O17" i="27" s="1"/>
  <c r="O30" i="27"/>
  <c r="O31" i="27" s="1"/>
  <c r="O44" i="27"/>
  <c r="O45" i="27" s="1"/>
  <c r="O58" i="27"/>
  <c r="O59" i="27" s="1"/>
  <c r="O72" i="27"/>
  <c r="O73" i="27" s="1"/>
  <c r="O86" i="27"/>
  <c r="O87" i="27" s="1"/>
  <c r="O100" i="27"/>
  <c r="O101" i="27" s="1"/>
  <c r="O114" i="27"/>
  <c r="O115" i="27" s="1"/>
  <c r="O128" i="27"/>
  <c r="O129" i="27" s="1"/>
  <c r="O142" i="27"/>
  <c r="O143" i="27" s="1"/>
  <c r="O156" i="27"/>
  <c r="O157" i="27" s="1"/>
  <c r="O170" i="27"/>
  <c r="O171" i="27" s="1"/>
  <c r="O184" i="27"/>
  <c r="O185" i="27" s="1"/>
  <c r="O198" i="27"/>
  <c r="O199" i="27" s="1"/>
  <c r="O212" i="27"/>
  <c r="O213" i="27" s="1"/>
  <c r="O226" i="27"/>
  <c r="O227" i="27" s="1"/>
  <c r="O240" i="27"/>
  <c r="O241" i="27" s="1"/>
  <c r="O254" i="27"/>
  <c r="O255" i="27" s="1"/>
  <c r="O268" i="27"/>
  <c r="O269" i="27" s="1"/>
  <c r="O282" i="27"/>
  <c r="O283" i="27" s="1"/>
  <c r="O296" i="27"/>
  <c r="O297" i="27" s="1"/>
  <c r="O310" i="27"/>
  <c r="O311" i="27" s="1"/>
  <c r="O324" i="27"/>
  <c r="O325" i="27" s="1"/>
  <c r="O338" i="27"/>
  <c r="O339" i="27" s="1"/>
  <c r="O352" i="27"/>
  <c r="O353" i="27" s="1"/>
  <c r="O366" i="27"/>
  <c r="O367" i="27" s="1"/>
  <c r="O380" i="27"/>
  <c r="O381" i="27" s="1"/>
  <c r="O394" i="27"/>
  <c r="O395" i="27" s="1"/>
  <c r="O408" i="27"/>
  <c r="O409" i="27" s="1"/>
  <c r="O422" i="27"/>
  <c r="O423" i="27" s="1"/>
  <c r="O436" i="27"/>
  <c r="O437" i="27" s="1"/>
  <c r="O450" i="27"/>
  <c r="O451" i="27" s="1"/>
  <c r="O464" i="27"/>
  <c r="O465" i="27" s="1"/>
  <c r="O478" i="27"/>
  <c r="O479" i="27" s="1"/>
  <c r="O492" i="27"/>
  <c r="O493" i="27" s="1"/>
  <c r="O506" i="27"/>
  <c r="O507" i="27" s="1"/>
  <c r="O520" i="27"/>
  <c r="O534" i="27"/>
  <c r="O535" i="27" s="1"/>
  <c r="O548" i="27"/>
  <c r="O549" i="27" s="1"/>
  <c r="O562" i="27"/>
  <c r="O563" i="27" s="1"/>
  <c r="O576" i="27"/>
  <c r="O577" i="27" s="1"/>
  <c r="O590" i="27"/>
  <c r="O591" i="27" s="1"/>
  <c r="O604" i="27"/>
  <c r="O605" i="27" s="1"/>
  <c r="O618" i="27"/>
  <c r="O619" i="27" s="1"/>
  <c r="O632" i="27"/>
  <c r="O633" i="27" s="1"/>
  <c r="O646" i="27"/>
  <c r="O647" i="27" s="1"/>
  <c r="O660" i="27"/>
  <c r="O661" i="27" s="1"/>
  <c r="O674" i="27"/>
  <c r="O675" i="27" s="1"/>
  <c r="O688" i="27"/>
  <c r="O689" i="27" s="1"/>
  <c r="O130" i="26"/>
  <c r="O16" i="25"/>
  <c r="O17" i="25" s="1"/>
  <c r="O44" i="25"/>
  <c r="O45" i="25" s="1"/>
  <c r="O58" i="25"/>
  <c r="O59" i="25" s="1"/>
  <c r="O72" i="25"/>
  <c r="O73" i="25" s="1"/>
  <c r="O86" i="25"/>
  <c r="O87" i="25" s="1"/>
  <c r="O100" i="25"/>
  <c r="O101" i="25" s="1"/>
  <c r="O114" i="25"/>
  <c r="O115" i="25" s="1"/>
  <c r="O128" i="25"/>
  <c r="O129" i="25" s="1"/>
  <c r="O142" i="25"/>
  <c r="O143" i="25" s="1"/>
  <c r="O156" i="25"/>
  <c r="O157" i="25" s="1"/>
  <c r="O170" i="25"/>
  <c r="O171" i="25" s="1"/>
  <c r="O184" i="25"/>
  <c r="O185" i="25" s="1"/>
  <c r="O198" i="25"/>
  <c r="O199" i="25" s="1"/>
  <c r="O212" i="25"/>
  <c r="O213" i="25" s="1"/>
  <c r="O226" i="25"/>
  <c r="O227" i="25" s="1"/>
  <c r="X20" i="23" l="1"/>
  <c r="X5" i="23"/>
  <c r="P21" i="23"/>
  <c r="R5" i="12"/>
  <c r="D14" i="23"/>
  <c r="D11" i="23"/>
  <c r="D10" i="23"/>
  <c r="D7" i="23"/>
  <c r="D9" i="23"/>
  <c r="D6" i="23"/>
  <c r="D8" i="23"/>
  <c r="Z21" i="12"/>
  <c r="D20" i="12"/>
  <c r="D21" i="12" s="1"/>
  <c r="O142" i="26"/>
  <c r="O143" i="26" s="1"/>
  <c r="X21" i="23" l="1"/>
  <c r="AA5" i="18"/>
  <c r="D32" i="12"/>
  <c r="D58" i="12" l="1"/>
  <c r="D59" i="12" s="1"/>
  <c r="D60" i="12" s="1"/>
  <c r="AG65" i="24" l="1"/>
  <c r="AE65" i="24"/>
  <c r="AC65" i="24"/>
  <c r="Y65" i="24"/>
  <c r="W65" i="24"/>
  <c r="U65" i="24"/>
  <c r="O65" i="24"/>
  <c r="M65" i="24"/>
  <c r="K65" i="24"/>
  <c r="G65" i="24"/>
  <c r="E65" i="24"/>
  <c r="C65" i="24"/>
  <c r="AG63" i="24"/>
  <c r="AE63" i="24"/>
  <c r="AC63" i="24"/>
  <c r="Y63" i="24"/>
  <c r="W63" i="24"/>
  <c r="U63" i="24"/>
  <c r="O63" i="24"/>
  <c r="M63" i="24"/>
  <c r="K63" i="24"/>
  <c r="G63" i="24"/>
  <c r="E63" i="24"/>
  <c r="C63" i="24"/>
  <c r="AG61" i="24"/>
  <c r="AE61" i="24"/>
  <c r="AC61" i="24"/>
  <c r="Y61" i="24"/>
  <c r="W61" i="24"/>
  <c r="U61" i="24"/>
  <c r="O61" i="24"/>
  <c r="M61" i="24"/>
  <c r="K61" i="24"/>
  <c r="G61" i="24"/>
  <c r="E61" i="24"/>
  <c r="C61" i="24"/>
  <c r="AH58" i="24"/>
  <c r="AG58" i="24"/>
  <c r="AE58" i="24"/>
  <c r="AD58" i="24"/>
  <c r="AC58" i="24"/>
  <c r="Z58" i="24"/>
  <c r="Y58" i="24"/>
  <c r="X58" i="24"/>
  <c r="W58" i="24"/>
  <c r="V58" i="24"/>
  <c r="U58" i="24"/>
  <c r="O58" i="24"/>
  <c r="M58" i="24"/>
  <c r="L58" i="24"/>
  <c r="K58" i="24"/>
  <c r="H58" i="24"/>
  <c r="G58" i="24"/>
  <c r="F58" i="24"/>
  <c r="E58" i="24"/>
  <c r="C58" i="24"/>
  <c r="AJ57" i="24"/>
  <c r="AI57" i="24"/>
  <c r="AJ55" i="24"/>
  <c r="AI55" i="24"/>
  <c r="AJ54" i="24"/>
  <c r="AI54" i="24"/>
  <c r="AJ53" i="24"/>
  <c r="AL53" i="24" s="1"/>
  <c r="AI53" i="24"/>
  <c r="AJ52" i="24"/>
  <c r="AI52" i="24"/>
  <c r="AJ51" i="24"/>
  <c r="AI51" i="24"/>
  <c r="AJ50" i="24"/>
  <c r="AI50" i="24"/>
  <c r="AJ49" i="24"/>
  <c r="AI49" i="24"/>
  <c r="AJ48" i="24"/>
  <c r="AI48" i="24"/>
  <c r="AJ47" i="24"/>
  <c r="AL47" i="24" s="1"/>
  <c r="AI47" i="24"/>
  <c r="AJ46" i="24"/>
  <c r="AI46" i="24"/>
  <c r="AJ45" i="24"/>
  <c r="AI45" i="24"/>
  <c r="AJ44" i="24"/>
  <c r="AI44" i="24"/>
  <c r="AJ43" i="24"/>
  <c r="AI43" i="24"/>
  <c r="AJ42" i="24"/>
  <c r="AI42" i="24"/>
  <c r="AJ41" i="24"/>
  <c r="AI41" i="24"/>
  <c r="AJ40" i="24"/>
  <c r="AI40" i="24"/>
  <c r="AJ39" i="24"/>
  <c r="AI39" i="24"/>
  <c r="AJ38" i="24"/>
  <c r="AL38" i="24" s="1"/>
  <c r="AI38" i="24"/>
  <c r="AJ37" i="24"/>
  <c r="AI37" i="24"/>
  <c r="AJ36" i="24"/>
  <c r="AI36" i="24"/>
  <c r="AJ35" i="24"/>
  <c r="AI35" i="24"/>
  <c r="AJ34" i="24"/>
  <c r="AI34" i="24"/>
  <c r="AJ33" i="24"/>
  <c r="AI33" i="24"/>
  <c r="AA58" i="24"/>
  <c r="R58" i="24"/>
  <c r="I58" i="24"/>
  <c r="AH32" i="24"/>
  <c r="AG32" i="24"/>
  <c r="AF32" i="24"/>
  <c r="AF59" i="24" s="1"/>
  <c r="AE32" i="24"/>
  <c r="AD32" i="24"/>
  <c r="AC32" i="24"/>
  <c r="Z32" i="24"/>
  <c r="Y32" i="24"/>
  <c r="W32" i="24"/>
  <c r="V32" i="24"/>
  <c r="U32" i="24"/>
  <c r="P32" i="24"/>
  <c r="O32" i="24"/>
  <c r="N32" i="24"/>
  <c r="N59" i="24" s="1"/>
  <c r="M32" i="24"/>
  <c r="L32" i="24"/>
  <c r="K32" i="24"/>
  <c r="H32" i="24"/>
  <c r="G32" i="24"/>
  <c r="F32" i="24"/>
  <c r="E32" i="24"/>
  <c r="D32" i="24"/>
  <c r="C32" i="24"/>
  <c r="AJ31" i="24"/>
  <c r="AI31" i="24"/>
  <c r="AJ30" i="24"/>
  <c r="AI30" i="24"/>
  <c r="AJ29" i="24"/>
  <c r="AI29" i="24"/>
  <c r="AJ28" i="24"/>
  <c r="AI28" i="24"/>
  <c r="AJ27" i="24"/>
  <c r="AI27" i="24"/>
  <c r="AJ26" i="24"/>
  <c r="AI26" i="24"/>
  <c r="AJ25" i="24"/>
  <c r="AI25" i="24"/>
  <c r="AJ24" i="24"/>
  <c r="AI24" i="24"/>
  <c r="AK24" i="24" s="1"/>
  <c r="AJ23" i="24"/>
  <c r="AI23" i="24"/>
  <c r="AA32" i="24"/>
  <c r="I32" i="24"/>
  <c r="AG22" i="24"/>
  <c r="AE22" i="24"/>
  <c r="AC22" i="24"/>
  <c r="Y22" i="24"/>
  <c r="W22" i="24"/>
  <c r="U22" i="24"/>
  <c r="O22" i="24"/>
  <c r="M22" i="24"/>
  <c r="K22" i="24"/>
  <c r="G22" i="24"/>
  <c r="E22" i="24"/>
  <c r="C22" i="24"/>
  <c r="AG20" i="24"/>
  <c r="AG21" i="24" s="1"/>
  <c r="AE20" i="24"/>
  <c r="AE21" i="24" s="1"/>
  <c r="AC20" i="24"/>
  <c r="AC21" i="24" s="1"/>
  <c r="Y20" i="24"/>
  <c r="Y21" i="24" s="1"/>
  <c r="W20" i="24"/>
  <c r="W21" i="24" s="1"/>
  <c r="U20" i="24"/>
  <c r="U21" i="24" s="1"/>
  <c r="O20" i="24"/>
  <c r="O21" i="24" s="1"/>
  <c r="M20" i="24"/>
  <c r="M21" i="24" s="1"/>
  <c r="K20" i="24"/>
  <c r="K21" i="24" s="1"/>
  <c r="G20" i="24"/>
  <c r="G21" i="24" s="1"/>
  <c r="E20" i="24"/>
  <c r="E21" i="24" s="1"/>
  <c r="C20" i="24"/>
  <c r="C21" i="24" s="1"/>
  <c r="AJ19" i="24"/>
  <c r="AI19" i="24"/>
  <c r="AB19" i="24"/>
  <c r="AA19" i="24"/>
  <c r="R19" i="24"/>
  <c r="T19" i="24" s="1"/>
  <c r="Q19" i="24"/>
  <c r="I19" i="24"/>
  <c r="AJ18" i="24"/>
  <c r="AI18" i="24"/>
  <c r="AB18" i="24"/>
  <c r="AA18" i="24"/>
  <c r="R18" i="24"/>
  <c r="Q18" i="24"/>
  <c r="J18" i="24"/>
  <c r="I18" i="24"/>
  <c r="AJ17" i="24"/>
  <c r="AI17" i="24"/>
  <c r="AB17" i="24"/>
  <c r="AA17" i="24"/>
  <c r="R17" i="24"/>
  <c r="Q17" i="24"/>
  <c r="J17" i="24"/>
  <c r="I17" i="24"/>
  <c r="AJ16" i="24"/>
  <c r="AI16" i="24"/>
  <c r="AB16" i="24"/>
  <c r="AA16" i="24"/>
  <c r="R16" i="24"/>
  <c r="Q16" i="24"/>
  <c r="J16" i="24"/>
  <c r="I16" i="24"/>
  <c r="AJ15" i="24"/>
  <c r="AI15" i="24"/>
  <c r="AB15" i="24"/>
  <c r="AA15" i="24"/>
  <c r="R15" i="24"/>
  <c r="Q15" i="24"/>
  <c r="J15" i="24"/>
  <c r="I15" i="24"/>
  <c r="AI14" i="24"/>
  <c r="AJ14" i="24"/>
  <c r="AA14" i="24"/>
  <c r="AB14" i="24"/>
  <c r="Q14" i="24"/>
  <c r="R14" i="24"/>
  <c r="I14" i="24"/>
  <c r="J14" i="24"/>
  <c r="AI13" i="24"/>
  <c r="AJ13" i="24"/>
  <c r="AA13" i="24"/>
  <c r="AB13" i="24"/>
  <c r="Q13" i="24"/>
  <c r="S13" i="24" s="1"/>
  <c r="R13" i="24"/>
  <c r="J13" i="24"/>
  <c r="AI12" i="24"/>
  <c r="AJ12" i="24"/>
  <c r="AA12" i="24"/>
  <c r="AB12" i="24"/>
  <c r="Q12" i="24"/>
  <c r="R12" i="24"/>
  <c r="I12" i="24"/>
  <c r="J12" i="24"/>
  <c r="AI11" i="24"/>
  <c r="AI65" i="24" s="1"/>
  <c r="AH65" i="24"/>
  <c r="AF65" i="24"/>
  <c r="AD65" i="24"/>
  <c r="AA11" i="24"/>
  <c r="AA65" i="24" s="1"/>
  <c r="Z65" i="24"/>
  <c r="X65" i="24"/>
  <c r="V65" i="24"/>
  <c r="Q11" i="24"/>
  <c r="Q65" i="24" s="1"/>
  <c r="P65" i="24"/>
  <c r="N65" i="24"/>
  <c r="L65" i="24"/>
  <c r="I11" i="24"/>
  <c r="I65" i="24" s="1"/>
  <c r="H65" i="24"/>
  <c r="F65" i="24"/>
  <c r="D65" i="24"/>
  <c r="AI10" i="24"/>
  <c r="AJ10" i="24"/>
  <c r="AA10" i="24"/>
  <c r="AB10" i="24"/>
  <c r="Q10" i="24"/>
  <c r="R10" i="24"/>
  <c r="I10" i="24"/>
  <c r="J10" i="24"/>
  <c r="AI9" i="24"/>
  <c r="AJ9" i="24"/>
  <c r="AA9" i="24"/>
  <c r="AB9" i="24"/>
  <c r="Q9" i="24"/>
  <c r="R9" i="24"/>
  <c r="I9" i="24"/>
  <c r="J9" i="24"/>
  <c r="AI8" i="24"/>
  <c r="AJ8" i="24"/>
  <c r="AA8" i="24"/>
  <c r="AB8" i="24"/>
  <c r="Q8" i="24"/>
  <c r="R8" i="24"/>
  <c r="I8" i="24"/>
  <c r="J8" i="24"/>
  <c r="AI7" i="24"/>
  <c r="AJ7" i="24"/>
  <c r="AA7" i="24"/>
  <c r="AB7" i="24"/>
  <c r="Q7" i="24"/>
  <c r="R7" i="24"/>
  <c r="I7" i="24"/>
  <c r="J7" i="24"/>
  <c r="AI6" i="24"/>
  <c r="AH20" i="24"/>
  <c r="AF20" i="24"/>
  <c r="AD20" i="24"/>
  <c r="AA6" i="24"/>
  <c r="Z20" i="24"/>
  <c r="X20" i="24"/>
  <c r="V20" i="24"/>
  <c r="Q6" i="24"/>
  <c r="P20" i="24"/>
  <c r="N20" i="24"/>
  <c r="L20" i="24"/>
  <c r="I6" i="24"/>
  <c r="H20" i="24"/>
  <c r="F20" i="24"/>
  <c r="D20" i="24"/>
  <c r="AI5" i="24"/>
  <c r="AA5" i="24"/>
  <c r="Q5" i="24"/>
  <c r="I5" i="24"/>
  <c r="AM32" i="24" l="1"/>
  <c r="AM58" i="24"/>
  <c r="Y59" i="24"/>
  <c r="AI20" i="24"/>
  <c r="Q20" i="24"/>
  <c r="AE59" i="24"/>
  <c r="AE60" i="24" s="1"/>
  <c r="AE64" i="24" s="1"/>
  <c r="Z59" i="24"/>
  <c r="J32" i="24"/>
  <c r="U59" i="24"/>
  <c r="U60" i="24" s="1"/>
  <c r="U64" i="24" s="1"/>
  <c r="M59" i="24"/>
  <c r="M60" i="24" s="1"/>
  <c r="M64" i="24" s="1"/>
  <c r="T7" i="24"/>
  <c r="AL7" i="24"/>
  <c r="T8" i="24"/>
  <c r="AL8" i="24"/>
  <c r="T9" i="24"/>
  <c r="AL9" i="24"/>
  <c r="T10" i="24"/>
  <c r="AL10" i="24"/>
  <c r="T12" i="24"/>
  <c r="AL12" i="24"/>
  <c r="T13" i="24"/>
  <c r="AL13" i="24"/>
  <c r="T14" i="24"/>
  <c r="AL14" i="24"/>
  <c r="S15" i="24"/>
  <c r="AK15" i="24"/>
  <c r="S16" i="24"/>
  <c r="AK16" i="24"/>
  <c r="S17" i="24"/>
  <c r="AK17" i="24"/>
  <c r="S18" i="24"/>
  <c r="AK18" i="24"/>
  <c r="S19" i="24"/>
  <c r="AK19" i="24"/>
  <c r="Y60" i="24"/>
  <c r="Y64" i="24" s="1"/>
  <c r="AG59" i="24"/>
  <c r="AG60" i="24" s="1"/>
  <c r="AG64" i="24" s="1"/>
  <c r="S7" i="24"/>
  <c r="AK7" i="24"/>
  <c r="S8" i="24"/>
  <c r="AK8" i="24"/>
  <c r="S9" i="24"/>
  <c r="AK9" i="24"/>
  <c r="S10" i="24"/>
  <c r="S12" i="24"/>
  <c r="AK12" i="24"/>
  <c r="AK13" i="24"/>
  <c r="AM13" i="24" s="1"/>
  <c r="S14" i="24"/>
  <c r="AK14" i="24"/>
  <c r="T15" i="24"/>
  <c r="AL15" i="24"/>
  <c r="T16" i="24"/>
  <c r="AL16" i="24"/>
  <c r="T17" i="24"/>
  <c r="AL17" i="24"/>
  <c r="T18" i="24"/>
  <c r="AL18" i="24"/>
  <c r="AL19" i="24"/>
  <c r="AN19" i="24" s="1"/>
  <c r="L59" i="24"/>
  <c r="R32" i="24"/>
  <c r="R59" i="24" s="1"/>
  <c r="AK10" i="24"/>
  <c r="Q32" i="24"/>
  <c r="F59" i="24"/>
  <c r="C59" i="24"/>
  <c r="J58" i="24"/>
  <c r="G59" i="24"/>
  <c r="G60" i="24" s="1"/>
  <c r="G64" i="24" s="1"/>
  <c r="AJ58" i="24"/>
  <c r="AI58" i="24"/>
  <c r="AA59" i="24"/>
  <c r="I59" i="24"/>
  <c r="D59" i="24"/>
  <c r="H59" i="24"/>
  <c r="E59" i="24"/>
  <c r="E60" i="24" s="1"/>
  <c r="E64" i="24" s="1"/>
  <c r="K59" i="24"/>
  <c r="K60" i="24" s="1"/>
  <c r="K64" i="24" s="1"/>
  <c r="Q58" i="24"/>
  <c r="AI32" i="24"/>
  <c r="AL40" i="24"/>
  <c r="AL54" i="24"/>
  <c r="AJ32" i="24"/>
  <c r="AL44" i="24"/>
  <c r="AL42" i="24"/>
  <c r="AL50" i="24"/>
  <c r="AL52" i="24"/>
  <c r="AL55" i="24"/>
  <c r="AL46" i="24"/>
  <c r="AL48" i="24"/>
  <c r="AL57" i="24"/>
  <c r="AL43" i="24"/>
  <c r="AL37" i="24"/>
  <c r="AL36" i="24"/>
  <c r="AL35" i="24"/>
  <c r="AL45" i="24"/>
  <c r="AL34" i="24"/>
  <c r="AL39" i="24"/>
  <c r="AL49" i="24"/>
  <c r="AL41" i="24"/>
  <c r="AD59" i="24"/>
  <c r="AL51" i="24"/>
  <c r="AL24" i="24"/>
  <c r="AL26" i="24"/>
  <c r="AL28" i="24"/>
  <c r="AL30" i="24"/>
  <c r="AL25" i="24"/>
  <c r="AL27" i="24"/>
  <c r="AL29" i="24"/>
  <c r="AL31" i="24"/>
  <c r="X59" i="24"/>
  <c r="V32" i="23"/>
  <c r="AB32" i="24"/>
  <c r="AB58" i="24"/>
  <c r="V59" i="24"/>
  <c r="P59" i="24"/>
  <c r="O59" i="24"/>
  <c r="O60" i="24" s="1"/>
  <c r="O64" i="24" s="1"/>
  <c r="W59" i="24"/>
  <c r="W60" i="24" s="1"/>
  <c r="W64" i="24" s="1"/>
  <c r="AC59" i="24"/>
  <c r="AC60" i="24" s="1"/>
  <c r="AC64" i="24" s="1"/>
  <c r="I20" i="24"/>
  <c r="I21" i="24" s="1"/>
  <c r="AA20" i="24"/>
  <c r="AH59" i="24"/>
  <c r="AK25" i="24"/>
  <c r="AK26" i="24"/>
  <c r="AK27" i="24"/>
  <c r="AK28" i="24"/>
  <c r="AK29" i="24"/>
  <c r="AK30" i="24"/>
  <c r="AK31" i="24"/>
  <c r="AK34" i="24"/>
  <c r="AK35" i="24"/>
  <c r="AK36" i="24"/>
  <c r="AK37" i="24"/>
  <c r="AK38" i="24"/>
  <c r="AK39" i="24"/>
  <c r="AK40" i="24"/>
  <c r="AK41" i="24"/>
  <c r="AK42" i="24"/>
  <c r="AK43" i="24"/>
  <c r="AK44" i="24"/>
  <c r="AK45" i="24"/>
  <c r="AK46" i="24"/>
  <c r="AK47" i="24"/>
  <c r="AK48" i="24"/>
  <c r="AK49" i="24"/>
  <c r="AK50" i="24"/>
  <c r="AK51" i="24"/>
  <c r="AK52" i="24"/>
  <c r="AK53" i="24"/>
  <c r="AK54" i="24"/>
  <c r="AK55" i="24"/>
  <c r="AK57" i="24"/>
  <c r="J27" i="23"/>
  <c r="J56" i="23"/>
  <c r="J54" i="23"/>
  <c r="J52" i="23"/>
  <c r="J29" i="23"/>
  <c r="D63" i="24"/>
  <c r="D61" i="24"/>
  <c r="D22" i="24"/>
  <c r="D21" i="24"/>
  <c r="F63" i="24"/>
  <c r="F61" i="24"/>
  <c r="F22" i="24"/>
  <c r="F21" i="24"/>
  <c r="H63" i="24"/>
  <c r="H61" i="24"/>
  <c r="H22" i="24"/>
  <c r="H21" i="24"/>
  <c r="I63" i="24"/>
  <c r="I61" i="24"/>
  <c r="I22" i="24"/>
  <c r="J5" i="24"/>
  <c r="J61" i="24" s="1"/>
  <c r="L63" i="24"/>
  <c r="L61" i="24"/>
  <c r="L22" i="24"/>
  <c r="L21" i="24"/>
  <c r="N63" i="24"/>
  <c r="N61" i="24"/>
  <c r="N22" i="24"/>
  <c r="N21" i="24"/>
  <c r="N60" i="24" s="1"/>
  <c r="P63" i="24"/>
  <c r="P21" i="24"/>
  <c r="P22" i="24" s="1"/>
  <c r="Q63" i="24"/>
  <c r="Q61" i="24"/>
  <c r="Q22" i="24"/>
  <c r="Q21" i="24"/>
  <c r="R5" i="24"/>
  <c r="S5" i="24"/>
  <c r="V63" i="24"/>
  <c r="V61" i="24"/>
  <c r="V22" i="24"/>
  <c r="V21" i="24"/>
  <c r="X63" i="24"/>
  <c r="X61" i="24"/>
  <c r="X22" i="24"/>
  <c r="X21" i="24"/>
  <c r="Z63" i="24"/>
  <c r="Z22" i="24"/>
  <c r="Z21" i="24"/>
  <c r="AA63" i="24"/>
  <c r="AA61" i="24"/>
  <c r="AA22" i="24"/>
  <c r="AA21" i="24"/>
  <c r="AA60" i="24" s="1"/>
  <c r="AB5" i="24"/>
  <c r="AD63" i="24"/>
  <c r="AD61" i="24"/>
  <c r="AD22" i="24"/>
  <c r="AD21" i="24"/>
  <c r="AF63" i="24"/>
  <c r="AF61" i="24"/>
  <c r="AF22" i="24"/>
  <c r="AF21" i="24"/>
  <c r="AF60" i="24" s="1"/>
  <c r="AH63" i="24"/>
  <c r="AH61" i="24"/>
  <c r="AH22" i="24"/>
  <c r="AH21" i="24"/>
  <c r="AI63" i="24"/>
  <c r="AI61" i="24"/>
  <c r="AI22" i="24"/>
  <c r="AI21" i="24"/>
  <c r="AJ5" i="24"/>
  <c r="AK5" i="24"/>
  <c r="J6" i="24"/>
  <c r="R6" i="24"/>
  <c r="S6" i="24"/>
  <c r="AB6" i="24"/>
  <c r="AJ6" i="24"/>
  <c r="AK6" i="24"/>
  <c r="J11" i="24"/>
  <c r="R11" i="24"/>
  <c r="R65" i="24" s="1"/>
  <c r="S11" i="24"/>
  <c r="AB11" i="24"/>
  <c r="AJ11" i="24"/>
  <c r="AJ65" i="24" s="1"/>
  <c r="AK11" i="24"/>
  <c r="AK65" i="24" s="1"/>
  <c r="AK23" i="24"/>
  <c r="AL23" i="24"/>
  <c r="AK33" i="24"/>
  <c r="AL33" i="24"/>
  <c r="AH32" i="23"/>
  <c r="AF32" i="23"/>
  <c r="AD32" i="23"/>
  <c r="Z32" i="23"/>
  <c r="P32" i="23"/>
  <c r="D58" i="23"/>
  <c r="J57" i="23"/>
  <c r="AJ56" i="23"/>
  <c r="AI56" i="23"/>
  <c r="AB56" i="23"/>
  <c r="AA56" i="23"/>
  <c r="R56" i="23"/>
  <c r="Q56" i="23"/>
  <c r="AJ54" i="23"/>
  <c r="AI54" i="23"/>
  <c r="AB54" i="23"/>
  <c r="AA54" i="23"/>
  <c r="R54" i="23"/>
  <c r="Q54" i="23"/>
  <c r="AJ53" i="23"/>
  <c r="AI53" i="23"/>
  <c r="AB53" i="23"/>
  <c r="AA53" i="23"/>
  <c r="R53" i="23"/>
  <c r="Q53" i="23"/>
  <c r="J53" i="23"/>
  <c r="I53" i="23"/>
  <c r="AJ52" i="23"/>
  <c r="AI52" i="23"/>
  <c r="AB52" i="23"/>
  <c r="AA52" i="23"/>
  <c r="R52" i="23"/>
  <c r="Q52" i="23"/>
  <c r="I52" i="23"/>
  <c r="AJ51" i="23"/>
  <c r="AI51" i="23"/>
  <c r="AB51" i="23"/>
  <c r="AA51" i="23"/>
  <c r="R51" i="23"/>
  <c r="Q51" i="23"/>
  <c r="J51" i="23"/>
  <c r="I51" i="23"/>
  <c r="AJ50" i="23"/>
  <c r="AI50" i="23"/>
  <c r="AB50" i="23"/>
  <c r="AA50" i="23"/>
  <c r="R50" i="23"/>
  <c r="Q50" i="23"/>
  <c r="J50" i="23"/>
  <c r="I50" i="23"/>
  <c r="AJ49" i="23"/>
  <c r="AI49" i="23"/>
  <c r="AB49" i="23"/>
  <c r="AA49" i="23"/>
  <c r="R49" i="23"/>
  <c r="Q49" i="23"/>
  <c r="J49" i="23"/>
  <c r="I49" i="23"/>
  <c r="AJ48" i="23"/>
  <c r="AI48" i="23"/>
  <c r="AB48" i="23"/>
  <c r="AA48" i="23"/>
  <c r="R48" i="23"/>
  <c r="Q48" i="23"/>
  <c r="J48" i="23"/>
  <c r="I48" i="23"/>
  <c r="AJ47" i="23"/>
  <c r="AI47" i="23"/>
  <c r="AB47" i="23"/>
  <c r="AA47" i="23"/>
  <c r="R47" i="23"/>
  <c r="Q47" i="23"/>
  <c r="J47" i="23"/>
  <c r="I47" i="23"/>
  <c r="AJ46" i="23"/>
  <c r="AI46" i="23"/>
  <c r="AB46" i="23"/>
  <c r="AA46" i="23"/>
  <c r="R46" i="23"/>
  <c r="Q46" i="23"/>
  <c r="J46" i="23"/>
  <c r="I46" i="23"/>
  <c r="AJ45" i="23"/>
  <c r="AI45" i="23"/>
  <c r="AB45" i="23"/>
  <c r="AA45" i="23"/>
  <c r="R45" i="23"/>
  <c r="Q45" i="23"/>
  <c r="J45" i="23"/>
  <c r="I45" i="23"/>
  <c r="AJ44" i="23"/>
  <c r="AI44" i="23"/>
  <c r="AB44" i="23"/>
  <c r="AA44" i="23"/>
  <c r="R44" i="23"/>
  <c r="Q44" i="23"/>
  <c r="J44" i="23"/>
  <c r="I44" i="23"/>
  <c r="AJ43" i="23"/>
  <c r="AI43" i="23"/>
  <c r="AB43" i="23"/>
  <c r="AA43" i="23"/>
  <c r="R43" i="23"/>
  <c r="Q43" i="23"/>
  <c r="J43" i="23"/>
  <c r="I43" i="23"/>
  <c r="AJ42" i="23"/>
  <c r="AI42" i="23"/>
  <c r="AB42" i="23"/>
  <c r="AA42" i="23"/>
  <c r="R42" i="23"/>
  <c r="Q42" i="23"/>
  <c r="J42" i="23"/>
  <c r="I42" i="23"/>
  <c r="AJ41" i="23"/>
  <c r="AI41" i="23"/>
  <c r="AB41" i="23"/>
  <c r="AA41" i="23"/>
  <c r="R41" i="23"/>
  <c r="Q41" i="23"/>
  <c r="J41" i="23"/>
  <c r="I41" i="23"/>
  <c r="AJ40" i="23"/>
  <c r="AI40" i="23"/>
  <c r="AB40" i="23"/>
  <c r="AA40" i="23"/>
  <c r="R40" i="23"/>
  <c r="Q40" i="23"/>
  <c r="J40" i="23"/>
  <c r="I40" i="23"/>
  <c r="AJ39" i="23"/>
  <c r="AI39" i="23"/>
  <c r="AB39" i="23"/>
  <c r="AA39" i="23"/>
  <c r="R39" i="23"/>
  <c r="Q39" i="23"/>
  <c r="J39" i="23"/>
  <c r="I39" i="23"/>
  <c r="AJ38" i="23"/>
  <c r="AI38" i="23"/>
  <c r="AB38" i="23"/>
  <c r="AA38" i="23"/>
  <c r="R38" i="23"/>
  <c r="Q38" i="23"/>
  <c r="J38" i="23"/>
  <c r="I38" i="23"/>
  <c r="AJ37" i="23"/>
  <c r="AI37" i="23"/>
  <c r="AB37" i="23"/>
  <c r="AA37" i="23"/>
  <c r="R37" i="23"/>
  <c r="Q37" i="23"/>
  <c r="J37" i="23"/>
  <c r="I37" i="23"/>
  <c r="AJ36" i="23"/>
  <c r="AI36" i="23"/>
  <c r="AB36" i="23"/>
  <c r="AA36" i="23"/>
  <c r="R36" i="23"/>
  <c r="Q36" i="23"/>
  <c r="J36" i="23"/>
  <c r="I36" i="23"/>
  <c r="AJ35" i="23"/>
  <c r="AI35" i="23"/>
  <c r="AB35" i="23"/>
  <c r="AA35" i="23"/>
  <c r="R35" i="23"/>
  <c r="Q35" i="23"/>
  <c r="J35" i="23"/>
  <c r="I35" i="23"/>
  <c r="AJ34" i="23"/>
  <c r="AI34" i="23"/>
  <c r="AB34" i="23"/>
  <c r="AA34" i="23"/>
  <c r="R34" i="23"/>
  <c r="Q34" i="23"/>
  <c r="J34" i="23"/>
  <c r="I34" i="23"/>
  <c r="AJ33" i="23"/>
  <c r="AI33" i="23"/>
  <c r="AB33" i="23"/>
  <c r="AA33" i="23"/>
  <c r="R33" i="23"/>
  <c r="Q33" i="23"/>
  <c r="J33" i="23"/>
  <c r="I33" i="23"/>
  <c r="H32" i="23"/>
  <c r="H59" i="23" s="1"/>
  <c r="G32" i="23"/>
  <c r="F32" i="23"/>
  <c r="F59" i="23" s="1"/>
  <c r="E32" i="23"/>
  <c r="D32" i="23"/>
  <c r="C32" i="23"/>
  <c r="AJ31" i="23"/>
  <c r="AI31" i="23"/>
  <c r="AB31" i="23"/>
  <c r="AA31" i="23"/>
  <c r="R31" i="23"/>
  <c r="Q31" i="23"/>
  <c r="J31" i="23"/>
  <c r="I31" i="23"/>
  <c r="AJ30" i="23"/>
  <c r="AI30" i="23"/>
  <c r="AB30" i="23"/>
  <c r="AA30" i="23"/>
  <c r="R30" i="23"/>
  <c r="Q30" i="23"/>
  <c r="J30" i="23"/>
  <c r="I30" i="23"/>
  <c r="AJ29" i="23"/>
  <c r="AI29" i="23"/>
  <c r="AB29" i="23"/>
  <c r="AA29" i="23"/>
  <c r="R29" i="23"/>
  <c r="Q29" i="23"/>
  <c r="I29" i="23"/>
  <c r="AJ28" i="23"/>
  <c r="AI28" i="23"/>
  <c r="AB28" i="23"/>
  <c r="AA28" i="23"/>
  <c r="R28" i="23"/>
  <c r="Q28" i="23"/>
  <c r="J28" i="23"/>
  <c r="AJ27" i="23"/>
  <c r="AI27" i="23"/>
  <c r="AB27" i="23"/>
  <c r="AA27" i="23"/>
  <c r="R27" i="23"/>
  <c r="Q27" i="23"/>
  <c r="I27" i="23"/>
  <c r="AJ26" i="23"/>
  <c r="AI26" i="23"/>
  <c r="AB26" i="23"/>
  <c r="AA26" i="23"/>
  <c r="R26" i="23"/>
  <c r="Q26" i="23"/>
  <c r="J26" i="23"/>
  <c r="I26" i="23"/>
  <c r="AJ25" i="23"/>
  <c r="AI25" i="23"/>
  <c r="AB25" i="23"/>
  <c r="AA25" i="23"/>
  <c r="R25" i="23"/>
  <c r="Q25" i="23"/>
  <c r="J25" i="23"/>
  <c r="I25" i="23"/>
  <c r="AJ24" i="23"/>
  <c r="AI24" i="23"/>
  <c r="AB24" i="23"/>
  <c r="AA24" i="23"/>
  <c r="R24" i="23"/>
  <c r="Q24" i="23"/>
  <c r="J24" i="23"/>
  <c r="I24" i="23"/>
  <c r="AJ23" i="23"/>
  <c r="AI23" i="23"/>
  <c r="AB23" i="23"/>
  <c r="AA23" i="23"/>
  <c r="R23" i="23"/>
  <c r="Q23" i="23"/>
  <c r="J23" i="23"/>
  <c r="G20" i="23"/>
  <c r="G21" i="23" s="1"/>
  <c r="E20" i="23"/>
  <c r="E21" i="23" s="1"/>
  <c r="C20" i="23"/>
  <c r="C21" i="23" s="1"/>
  <c r="AJ19" i="23"/>
  <c r="AI19" i="23"/>
  <c r="AB19" i="23"/>
  <c r="AA19" i="23"/>
  <c r="R19" i="23"/>
  <c r="Q19" i="23"/>
  <c r="J19" i="23"/>
  <c r="I19" i="23"/>
  <c r="AJ18" i="23"/>
  <c r="AI18" i="23"/>
  <c r="AB18" i="23"/>
  <c r="AA18" i="23"/>
  <c r="R18" i="23"/>
  <c r="Q18" i="23"/>
  <c r="J18" i="23"/>
  <c r="I18" i="23"/>
  <c r="AJ17" i="23"/>
  <c r="AI17" i="23"/>
  <c r="AB17" i="23"/>
  <c r="AA17" i="23"/>
  <c r="R17" i="23"/>
  <c r="Q17" i="23"/>
  <c r="J17" i="23"/>
  <c r="I17" i="23"/>
  <c r="AJ16" i="23"/>
  <c r="AI16" i="23"/>
  <c r="AB16" i="23"/>
  <c r="AA16" i="23"/>
  <c r="R16" i="23"/>
  <c r="Q16" i="23"/>
  <c r="J16" i="23"/>
  <c r="I16" i="23"/>
  <c r="AJ15" i="23"/>
  <c r="AI15" i="23"/>
  <c r="AB15" i="23"/>
  <c r="AA15" i="23"/>
  <c r="R15" i="23"/>
  <c r="Q15" i="23"/>
  <c r="J15" i="23"/>
  <c r="I15" i="23"/>
  <c r="AI14" i="23"/>
  <c r="AA14" i="23"/>
  <c r="Q14" i="23"/>
  <c r="I14" i="23"/>
  <c r="AI13" i="23"/>
  <c r="AA13" i="23"/>
  <c r="Q13" i="23"/>
  <c r="I13" i="23"/>
  <c r="AI12" i="23"/>
  <c r="AA12" i="23"/>
  <c r="Q12" i="23"/>
  <c r="I12" i="23"/>
  <c r="AI11" i="23"/>
  <c r="AA11" i="23"/>
  <c r="Q11" i="23"/>
  <c r="AI10" i="23"/>
  <c r="AA10" i="23"/>
  <c r="Q10" i="23"/>
  <c r="I10" i="23"/>
  <c r="AI9" i="23"/>
  <c r="AA9" i="23"/>
  <c r="Q9" i="23"/>
  <c r="I9" i="23"/>
  <c r="AI8" i="23"/>
  <c r="AA8" i="23"/>
  <c r="Q8" i="23"/>
  <c r="I8" i="23"/>
  <c r="AI7" i="23"/>
  <c r="AA7" i="23"/>
  <c r="Q7" i="23"/>
  <c r="I7" i="23"/>
  <c r="AI6" i="23"/>
  <c r="AA6" i="23"/>
  <c r="Q6" i="23"/>
  <c r="I6" i="23"/>
  <c r="AI5" i="23"/>
  <c r="AA5" i="23"/>
  <c r="Q5" i="23"/>
  <c r="D17" i="22"/>
  <c r="D29" i="22" s="1"/>
  <c r="E17" i="22"/>
  <c r="F17" i="22"/>
  <c r="F29" i="22" s="1"/>
  <c r="G17" i="22"/>
  <c r="H17" i="22"/>
  <c r="H29" i="22" s="1"/>
  <c r="I17" i="22"/>
  <c r="I29" i="22" s="1"/>
  <c r="J17" i="22"/>
  <c r="K17" i="22"/>
  <c r="K29" i="22" s="1"/>
  <c r="L17" i="22"/>
  <c r="L29" i="22" s="1"/>
  <c r="M17" i="22"/>
  <c r="M29" i="22" s="1"/>
  <c r="N17" i="22"/>
  <c r="N29" i="22" s="1"/>
  <c r="D18" i="22"/>
  <c r="E18" i="22"/>
  <c r="F18" i="22"/>
  <c r="G18" i="22"/>
  <c r="H18" i="22"/>
  <c r="I18" i="22"/>
  <c r="J18" i="22"/>
  <c r="K18" i="22"/>
  <c r="L18" i="22"/>
  <c r="M18" i="22"/>
  <c r="N18" i="22"/>
  <c r="D19" i="22"/>
  <c r="E19" i="22"/>
  <c r="F19" i="22"/>
  <c r="G19" i="22"/>
  <c r="H19" i="22"/>
  <c r="I19" i="22"/>
  <c r="J19" i="22"/>
  <c r="K19" i="22"/>
  <c r="L19" i="22"/>
  <c r="M19" i="22"/>
  <c r="N19" i="22"/>
  <c r="D20" i="22"/>
  <c r="E20" i="22"/>
  <c r="F20" i="22"/>
  <c r="G20" i="22"/>
  <c r="H20" i="22"/>
  <c r="I20" i="22"/>
  <c r="J20" i="22"/>
  <c r="K20" i="22"/>
  <c r="L20" i="22"/>
  <c r="M20" i="22"/>
  <c r="N20" i="22"/>
  <c r="D21" i="22"/>
  <c r="E21" i="22"/>
  <c r="F21" i="22"/>
  <c r="G21" i="22"/>
  <c r="H21" i="22"/>
  <c r="I21" i="22"/>
  <c r="J21" i="22"/>
  <c r="K21" i="22"/>
  <c r="L21" i="22"/>
  <c r="M21" i="22"/>
  <c r="N21" i="22"/>
  <c r="D22" i="22"/>
  <c r="E22" i="22"/>
  <c r="F22" i="22"/>
  <c r="G22" i="22"/>
  <c r="H22" i="22"/>
  <c r="I22" i="22"/>
  <c r="J22" i="22"/>
  <c r="K22" i="22"/>
  <c r="L22" i="22"/>
  <c r="M22" i="22"/>
  <c r="N22" i="22"/>
  <c r="D23" i="22"/>
  <c r="E23" i="22"/>
  <c r="F23" i="22"/>
  <c r="G23" i="22"/>
  <c r="H23" i="22"/>
  <c r="I23" i="22"/>
  <c r="J23" i="22"/>
  <c r="K23" i="22"/>
  <c r="L23" i="22"/>
  <c r="M23" i="22"/>
  <c r="N23" i="22"/>
  <c r="D24" i="22"/>
  <c r="E24" i="22"/>
  <c r="F24" i="22"/>
  <c r="G24" i="22"/>
  <c r="H24" i="22"/>
  <c r="I24" i="22"/>
  <c r="J24" i="22"/>
  <c r="K24" i="22"/>
  <c r="L24" i="22"/>
  <c r="M24" i="22"/>
  <c r="N24" i="22"/>
  <c r="D25" i="22"/>
  <c r="E25" i="22"/>
  <c r="F25" i="22"/>
  <c r="G25" i="22"/>
  <c r="H25" i="22"/>
  <c r="I25" i="22"/>
  <c r="J25" i="22"/>
  <c r="K25" i="22"/>
  <c r="L25" i="22"/>
  <c r="M25" i="22"/>
  <c r="N25" i="22"/>
  <c r="D26" i="22"/>
  <c r="E26" i="22"/>
  <c r="F26" i="22"/>
  <c r="G26" i="22"/>
  <c r="H26" i="22"/>
  <c r="I26" i="22"/>
  <c r="J26" i="22"/>
  <c r="K26" i="22"/>
  <c r="L26" i="22"/>
  <c r="M26" i="22"/>
  <c r="N26" i="22"/>
  <c r="D27" i="22"/>
  <c r="E27" i="22"/>
  <c r="F27" i="22"/>
  <c r="G27" i="22"/>
  <c r="H27" i="22"/>
  <c r="I27" i="22"/>
  <c r="J27" i="22"/>
  <c r="K27" i="22"/>
  <c r="L27" i="22"/>
  <c r="M27" i="22"/>
  <c r="N27" i="22"/>
  <c r="C18" i="22"/>
  <c r="C19" i="22"/>
  <c r="C20" i="22"/>
  <c r="C21" i="22"/>
  <c r="C22" i="22"/>
  <c r="C23" i="22"/>
  <c r="C24" i="22"/>
  <c r="C25" i="22"/>
  <c r="C26" i="22"/>
  <c r="C27" i="22"/>
  <c r="C17" i="22"/>
  <c r="J29" i="22"/>
  <c r="G29" i="22"/>
  <c r="E29" i="22"/>
  <c r="N16" i="22"/>
  <c r="M16" i="22"/>
  <c r="L16" i="22"/>
  <c r="K16" i="22"/>
  <c r="J16" i="22"/>
  <c r="I16" i="22"/>
  <c r="H16" i="22"/>
  <c r="G16" i="22"/>
  <c r="F16" i="22"/>
  <c r="E16" i="22"/>
  <c r="D16" i="22"/>
  <c r="N15" i="22"/>
  <c r="M15" i="22"/>
  <c r="L15" i="22"/>
  <c r="K15" i="22"/>
  <c r="J15" i="22"/>
  <c r="I15" i="22"/>
  <c r="H15" i="22"/>
  <c r="G15" i="22"/>
  <c r="F15" i="22"/>
  <c r="E15" i="22"/>
  <c r="D15" i="22"/>
  <c r="O14" i="22"/>
  <c r="O13" i="22"/>
  <c r="O12" i="22"/>
  <c r="O11" i="22"/>
  <c r="O10" i="22"/>
  <c r="O9" i="22"/>
  <c r="O8" i="22"/>
  <c r="O7" i="22"/>
  <c r="O6" i="22"/>
  <c r="O5" i="22"/>
  <c r="O4" i="22"/>
  <c r="J32" i="12"/>
  <c r="L60" i="24" l="1"/>
  <c r="L64" i="24" s="1"/>
  <c r="O22" i="22"/>
  <c r="O20" i="22"/>
  <c r="AM10" i="24"/>
  <c r="O26" i="22"/>
  <c r="AN17" i="24"/>
  <c r="AN15" i="24"/>
  <c r="AM9" i="24"/>
  <c r="C60" i="24"/>
  <c r="AM59" i="24"/>
  <c r="O18" i="22"/>
  <c r="O21" i="22"/>
  <c r="AM7" i="24"/>
  <c r="AM12" i="24"/>
  <c r="P60" i="24"/>
  <c r="P61" i="24" s="1"/>
  <c r="O24" i="22"/>
  <c r="O19" i="22"/>
  <c r="AM19" i="24"/>
  <c r="AM17" i="24"/>
  <c r="AM15" i="24"/>
  <c r="H60" i="24"/>
  <c r="AJ59" i="24"/>
  <c r="Z60" i="24"/>
  <c r="R32" i="23"/>
  <c r="T27" i="23"/>
  <c r="O23" i="22"/>
  <c r="AA64" i="24"/>
  <c r="AI59" i="24"/>
  <c r="AI60" i="24" s="1"/>
  <c r="AI64" i="24" s="1"/>
  <c r="AN18" i="24"/>
  <c r="AN16" i="24"/>
  <c r="AM14" i="24"/>
  <c r="AM8" i="24"/>
  <c r="AM18" i="24"/>
  <c r="AM16" i="24"/>
  <c r="AN14" i="24"/>
  <c r="AN12" i="24"/>
  <c r="AN9" i="24"/>
  <c r="AN7" i="24"/>
  <c r="O27" i="22"/>
  <c r="O25" i="22"/>
  <c r="AN13" i="24"/>
  <c r="AN10" i="24"/>
  <c r="AN8" i="24"/>
  <c r="J32" i="23"/>
  <c r="I32" i="23"/>
  <c r="AL32" i="24"/>
  <c r="I60" i="24"/>
  <c r="I64" i="24" s="1"/>
  <c r="Q59" i="24"/>
  <c r="Q60" i="24" s="1"/>
  <c r="Q64" i="24" s="1"/>
  <c r="F60" i="24"/>
  <c r="F64" i="24" s="1"/>
  <c r="J59" i="24"/>
  <c r="I20" i="23"/>
  <c r="I21" i="23" s="1"/>
  <c r="D60" i="24"/>
  <c r="D64" i="24" s="1"/>
  <c r="T52" i="23"/>
  <c r="AK34" i="23"/>
  <c r="AK35" i="23"/>
  <c r="AK36" i="23"/>
  <c r="AK40" i="23"/>
  <c r="AK41" i="23"/>
  <c r="AK42" i="23"/>
  <c r="AK43" i="23"/>
  <c r="AK44" i="23"/>
  <c r="AK45" i="23"/>
  <c r="AK46" i="23"/>
  <c r="AK47" i="23"/>
  <c r="AK58" i="24"/>
  <c r="S34" i="23"/>
  <c r="S35" i="23"/>
  <c r="S36" i="23"/>
  <c r="S40" i="23"/>
  <c r="S41" i="23"/>
  <c r="S42" i="23"/>
  <c r="S43" i="23"/>
  <c r="S44" i="23"/>
  <c r="S45" i="23"/>
  <c r="S46" i="23"/>
  <c r="T56" i="23"/>
  <c r="AK32" i="24"/>
  <c r="AA32" i="23"/>
  <c r="T35" i="23"/>
  <c r="T40" i="23"/>
  <c r="T42" i="23"/>
  <c r="T46" i="23"/>
  <c r="S47" i="23"/>
  <c r="T29" i="23"/>
  <c r="S5" i="23"/>
  <c r="S7" i="23"/>
  <c r="S8" i="23"/>
  <c r="S9" i="23"/>
  <c r="S10" i="23"/>
  <c r="S12" i="23"/>
  <c r="S13" i="23"/>
  <c r="S14" i="23"/>
  <c r="AK7" i="23"/>
  <c r="AK8" i="23"/>
  <c r="AK9" i="23"/>
  <c r="AK10" i="23"/>
  <c r="AK12" i="23"/>
  <c r="AK13" i="23"/>
  <c r="AK14" i="23"/>
  <c r="T54" i="23"/>
  <c r="AA20" i="23"/>
  <c r="AA21" i="23" s="1"/>
  <c r="Q32" i="23"/>
  <c r="AI32" i="23"/>
  <c r="AH60" i="24"/>
  <c r="AH64" i="24" s="1"/>
  <c r="AL43" i="23"/>
  <c r="AL42" i="23"/>
  <c r="AD60" i="24"/>
  <c r="AD64" i="24" s="1"/>
  <c r="AL58" i="24"/>
  <c r="AL36" i="23"/>
  <c r="AL35" i="23"/>
  <c r="AL45" i="23"/>
  <c r="AL40" i="23"/>
  <c r="AL34" i="23"/>
  <c r="AL44" i="23"/>
  <c r="AL41" i="23"/>
  <c r="AJ32" i="23"/>
  <c r="X60" i="24"/>
  <c r="X64" i="24" s="1"/>
  <c r="AB59" i="24"/>
  <c r="D59" i="23"/>
  <c r="S37" i="23"/>
  <c r="AK37" i="23"/>
  <c r="S38" i="23"/>
  <c r="AK38" i="23"/>
  <c r="S39" i="23"/>
  <c r="AK39" i="23"/>
  <c r="AL37" i="23"/>
  <c r="T38" i="23"/>
  <c r="AL38" i="23"/>
  <c r="AL39" i="23"/>
  <c r="V60" i="24"/>
  <c r="V64" i="24" s="1"/>
  <c r="AB32" i="23"/>
  <c r="T43" i="23"/>
  <c r="T37" i="23"/>
  <c r="T44" i="23"/>
  <c r="T36" i="23"/>
  <c r="T45" i="23"/>
  <c r="P64" i="24"/>
  <c r="T39" i="23"/>
  <c r="T41" i="23"/>
  <c r="T34" i="23"/>
  <c r="S15" i="23"/>
  <c r="AK15" i="23"/>
  <c r="S16" i="23"/>
  <c r="AK16" i="23"/>
  <c r="S17" i="23"/>
  <c r="AK17" i="23"/>
  <c r="S18" i="23"/>
  <c r="AK18" i="23"/>
  <c r="S19" i="23"/>
  <c r="AK19" i="23"/>
  <c r="S24" i="23"/>
  <c r="AK24" i="23"/>
  <c r="S25" i="23"/>
  <c r="AK25" i="23"/>
  <c r="S26" i="23"/>
  <c r="AK26" i="23"/>
  <c r="S27" i="23"/>
  <c r="AK27" i="23"/>
  <c r="S28" i="23"/>
  <c r="AK28" i="23"/>
  <c r="S29" i="23"/>
  <c r="AK29" i="23"/>
  <c r="S30" i="23"/>
  <c r="AK30" i="23"/>
  <c r="S31" i="23"/>
  <c r="AK31" i="23"/>
  <c r="Q20" i="23"/>
  <c r="Q21" i="23" s="1"/>
  <c r="T15" i="23"/>
  <c r="AL15" i="23"/>
  <c r="T16" i="23"/>
  <c r="AL16" i="23"/>
  <c r="T17" i="23"/>
  <c r="AL17" i="23"/>
  <c r="T18" i="23"/>
  <c r="AL18" i="23"/>
  <c r="T19" i="23"/>
  <c r="AL19" i="23"/>
  <c r="T24" i="23"/>
  <c r="AL24" i="23"/>
  <c r="T25" i="23"/>
  <c r="AL25" i="23"/>
  <c r="T26" i="23"/>
  <c r="AL26" i="23"/>
  <c r="AL27" i="23"/>
  <c r="T28" i="23"/>
  <c r="AL28" i="23"/>
  <c r="AL29" i="23"/>
  <c r="T30" i="23"/>
  <c r="AL30" i="23"/>
  <c r="T31" i="23"/>
  <c r="AL31" i="23"/>
  <c r="N64" i="24"/>
  <c r="S48" i="23"/>
  <c r="AK48" i="23"/>
  <c r="S49" i="23"/>
  <c r="AK49" i="23"/>
  <c r="S50" i="23"/>
  <c r="AK50" i="23"/>
  <c r="S51" i="23"/>
  <c r="AK51" i="23"/>
  <c r="S52" i="23"/>
  <c r="AK52" i="23"/>
  <c r="S53" i="23"/>
  <c r="AK53" i="23"/>
  <c r="S54" i="23"/>
  <c r="AK54" i="23"/>
  <c r="S56" i="23"/>
  <c r="AK56" i="23"/>
  <c r="AF64" i="24"/>
  <c r="AI20" i="23"/>
  <c r="AI21" i="23" s="1"/>
  <c r="AL46" i="23"/>
  <c r="T47" i="23"/>
  <c r="AL47" i="23"/>
  <c r="T48" i="23"/>
  <c r="AL48" i="23"/>
  <c r="T49" i="23"/>
  <c r="AL49" i="23"/>
  <c r="T50" i="23"/>
  <c r="AL50" i="23"/>
  <c r="T51" i="23"/>
  <c r="AL51" i="23"/>
  <c r="AL52" i="23"/>
  <c r="AL53" i="23"/>
  <c r="AL54" i="23"/>
  <c r="AL56" i="23"/>
  <c r="T53" i="23"/>
  <c r="J58" i="23"/>
  <c r="G22" i="23"/>
  <c r="E22" i="23"/>
  <c r="C22" i="23"/>
  <c r="T58" i="24"/>
  <c r="S58" i="24"/>
  <c r="T32" i="24"/>
  <c r="S32" i="24"/>
  <c r="AB65" i="24"/>
  <c r="AL11" i="24"/>
  <c r="AL65" i="24" s="1"/>
  <c r="S65" i="24"/>
  <c r="AM11" i="24"/>
  <c r="AM65" i="24" s="1"/>
  <c r="J65" i="24"/>
  <c r="T11" i="24"/>
  <c r="AK20" i="24"/>
  <c r="AJ20" i="24"/>
  <c r="AJ21" i="24" s="1"/>
  <c r="AB20" i="24"/>
  <c r="AB21" i="24" s="1"/>
  <c r="AB22" i="24" s="1"/>
  <c r="AL6" i="24"/>
  <c r="S20" i="24"/>
  <c r="S21" i="24" s="1"/>
  <c r="AM6" i="24"/>
  <c r="R20" i="24"/>
  <c r="R21" i="24" s="1"/>
  <c r="R60" i="24" s="1"/>
  <c r="R61" i="24" s="1"/>
  <c r="J20" i="24"/>
  <c r="J21" i="24" s="1"/>
  <c r="T6" i="24"/>
  <c r="AK63" i="24"/>
  <c r="AK61" i="24"/>
  <c r="AK22" i="24"/>
  <c r="AK21" i="24"/>
  <c r="AJ63" i="24"/>
  <c r="AJ61" i="24"/>
  <c r="AJ22" i="24"/>
  <c r="AB63" i="24"/>
  <c r="AL5" i="24"/>
  <c r="S63" i="24"/>
  <c r="S61" i="24"/>
  <c r="S22" i="24"/>
  <c r="AM5" i="24"/>
  <c r="R63" i="24"/>
  <c r="J63" i="24"/>
  <c r="J22" i="24"/>
  <c r="T5" i="24"/>
  <c r="AK5" i="23"/>
  <c r="S6" i="23"/>
  <c r="AK6" i="23"/>
  <c r="S11" i="23"/>
  <c r="AK11" i="23"/>
  <c r="S23" i="23"/>
  <c r="T23" i="23"/>
  <c r="AK23" i="23"/>
  <c r="AL23" i="23"/>
  <c r="S33" i="23"/>
  <c r="T33" i="23"/>
  <c r="AK33" i="23"/>
  <c r="AL33" i="23"/>
  <c r="O15" i="22"/>
  <c r="O16" i="22" s="1"/>
  <c r="O17" i="22"/>
  <c r="C28" i="22"/>
  <c r="C29" i="22" s="1"/>
  <c r="D28" i="22"/>
  <c r="E28" i="22"/>
  <c r="F28" i="22"/>
  <c r="G28" i="22"/>
  <c r="H28" i="22"/>
  <c r="I28" i="22"/>
  <c r="J28" i="22"/>
  <c r="K28" i="22"/>
  <c r="L28" i="22"/>
  <c r="M28" i="22"/>
  <c r="N28" i="22"/>
  <c r="R22" i="24" l="1"/>
  <c r="Z64" i="24"/>
  <c r="Z61" i="24"/>
  <c r="AL20" i="24"/>
  <c r="H64" i="24"/>
  <c r="J60" i="24"/>
  <c r="J64" i="24" s="1"/>
  <c r="C64" i="24"/>
  <c r="AM60" i="24"/>
  <c r="AJ60" i="24"/>
  <c r="AJ64" i="24" s="1"/>
  <c r="AK59" i="24"/>
  <c r="AK60" i="24" s="1"/>
  <c r="AK64" i="24" s="1"/>
  <c r="AM20" i="24"/>
  <c r="AM21" i="24" s="1"/>
  <c r="AL59" i="24"/>
  <c r="S59" i="24"/>
  <c r="S60" i="24" s="1"/>
  <c r="S64" i="24" s="1"/>
  <c r="J59" i="23"/>
  <c r="AB60" i="24"/>
  <c r="AK32" i="23"/>
  <c r="AL32" i="23"/>
  <c r="R64" i="24"/>
  <c r="T59" i="24"/>
  <c r="AI22" i="23"/>
  <c r="AA22" i="23"/>
  <c r="Q22" i="23"/>
  <c r="I22" i="23"/>
  <c r="T63" i="24"/>
  <c r="AN5" i="24"/>
  <c r="AM63" i="24"/>
  <c r="AM61" i="24"/>
  <c r="AM22" i="24"/>
  <c r="AL63" i="24"/>
  <c r="AL21" i="24"/>
  <c r="AL22" i="24" s="1"/>
  <c r="T20" i="24"/>
  <c r="T21" i="24" s="1"/>
  <c r="T22" i="24" s="1"/>
  <c r="AN6" i="24"/>
  <c r="T65" i="24"/>
  <c r="AN11" i="24"/>
  <c r="AN65" i="24" s="1"/>
  <c r="T32" i="23"/>
  <c r="S32" i="23"/>
  <c r="AK20" i="23"/>
  <c r="AK21" i="23" s="1"/>
  <c r="S20" i="23"/>
  <c r="S21" i="23" s="1"/>
  <c r="O28" i="22"/>
  <c r="O29" i="22" s="1"/>
  <c r="AG63" i="20"/>
  <c r="AE63" i="20"/>
  <c r="AC63" i="20"/>
  <c r="Y63" i="20"/>
  <c r="W63" i="20"/>
  <c r="U63" i="20"/>
  <c r="O63" i="20"/>
  <c r="M63" i="20"/>
  <c r="K63" i="20"/>
  <c r="G63" i="20"/>
  <c r="E63" i="20"/>
  <c r="C63" i="20"/>
  <c r="AH58" i="20"/>
  <c r="AG58" i="20"/>
  <c r="AF58" i="20"/>
  <c r="AE58" i="20"/>
  <c r="AD58" i="20"/>
  <c r="AC58" i="20"/>
  <c r="Z58" i="20"/>
  <c r="Y58" i="20"/>
  <c r="X58" i="20"/>
  <c r="W58" i="20"/>
  <c r="V58" i="20"/>
  <c r="U58" i="20"/>
  <c r="P58" i="20"/>
  <c r="O58" i="20"/>
  <c r="N58" i="20"/>
  <c r="M58" i="20"/>
  <c r="L58" i="20"/>
  <c r="K58" i="20"/>
  <c r="H58" i="20"/>
  <c r="G58" i="20"/>
  <c r="F58" i="20"/>
  <c r="E58" i="20"/>
  <c r="D58" i="20"/>
  <c r="C58" i="20"/>
  <c r="AJ57" i="20"/>
  <c r="AJ55" i="20"/>
  <c r="AI55" i="20"/>
  <c r="Q55" i="20"/>
  <c r="AH32" i="20"/>
  <c r="AG32" i="20"/>
  <c r="AF32" i="20"/>
  <c r="AE32" i="20"/>
  <c r="AD32" i="20"/>
  <c r="AC32" i="20"/>
  <c r="Z32" i="20"/>
  <c r="Y32" i="20"/>
  <c r="X32" i="20"/>
  <c r="W32" i="20"/>
  <c r="V32" i="20"/>
  <c r="U32" i="20"/>
  <c r="P32" i="20"/>
  <c r="O32" i="20"/>
  <c r="N32" i="20"/>
  <c r="M32" i="20"/>
  <c r="H32" i="20"/>
  <c r="G32" i="20"/>
  <c r="F32" i="20"/>
  <c r="E32" i="20"/>
  <c r="D32" i="20"/>
  <c r="C32" i="20"/>
  <c r="AJ31" i="20"/>
  <c r="AI31" i="20"/>
  <c r="AJ30" i="20"/>
  <c r="AI30" i="20"/>
  <c r="AJ29" i="20"/>
  <c r="AI29" i="20"/>
  <c r="AJ28" i="20"/>
  <c r="AI28" i="20"/>
  <c r="AJ27" i="20"/>
  <c r="AI27" i="20"/>
  <c r="AJ26" i="20"/>
  <c r="AI26" i="20"/>
  <c r="AJ25" i="20"/>
  <c r="AI25" i="20"/>
  <c r="AJ24" i="20"/>
  <c r="AI24" i="20"/>
  <c r="AJ23" i="20"/>
  <c r="AI23" i="20"/>
  <c r="AB32" i="20"/>
  <c r="AA32" i="20"/>
  <c r="AG20" i="20"/>
  <c r="AG21" i="20" s="1"/>
  <c r="AE20" i="20"/>
  <c r="AE21" i="20" s="1"/>
  <c r="AC20" i="20"/>
  <c r="AC21" i="20" s="1"/>
  <c r="Y20" i="20"/>
  <c r="Y21" i="20" s="1"/>
  <c r="W20" i="20"/>
  <c r="W21" i="20" s="1"/>
  <c r="U20" i="20"/>
  <c r="U21" i="20" s="1"/>
  <c r="O20" i="20"/>
  <c r="O21" i="20" s="1"/>
  <c r="M20" i="20"/>
  <c r="M21" i="20" s="1"/>
  <c r="K20" i="20"/>
  <c r="K21" i="20" s="1"/>
  <c r="G20" i="20"/>
  <c r="G21" i="20" s="1"/>
  <c r="E20" i="20"/>
  <c r="E21" i="20" s="1"/>
  <c r="C20" i="20"/>
  <c r="AJ19" i="20"/>
  <c r="AI19" i="20"/>
  <c r="AB19" i="20"/>
  <c r="AA19" i="20"/>
  <c r="R19" i="20"/>
  <c r="Q19" i="20"/>
  <c r="J19" i="20"/>
  <c r="I19" i="20"/>
  <c r="AJ18" i="20"/>
  <c r="AI18" i="20"/>
  <c r="AB18" i="20"/>
  <c r="AA18" i="20"/>
  <c r="R18" i="20"/>
  <c r="Q18" i="20"/>
  <c r="J18" i="20"/>
  <c r="I18" i="20"/>
  <c r="AJ17" i="20"/>
  <c r="AI17" i="20"/>
  <c r="AB17" i="20"/>
  <c r="AA17" i="20"/>
  <c r="R17" i="20"/>
  <c r="Q17" i="20"/>
  <c r="J17" i="20"/>
  <c r="I17" i="20"/>
  <c r="AJ16" i="20"/>
  <c r="AI16" i="20"/>
  <c r="AB16" i="20"/>
  <c r="AA16" i="20"/>
  <c r="R16" i="20"/>
  <c r="Q16" i="20"/>
  <c r="J16" i="20"/>
  <c r="I16" i="20"/>
  <c r="AJ15" i="20"/>
  <c r="AI15" i="20"/>
  <c r="AB15" i="20"/>
  <c r="AA15" i="20"/>
  <c r="R15" i="20"/>
  <c r="Q15" i="20"/>
  <c r="J15" i="20"/>
  <c r="I15" i="20"/>
  <c r="AI14" i="20"/>
  <c r="AA14" i="20"/>
  <c r="Q14" i="20"/>
  <c r="I14" i="20"/>
  <c r="AI13" i="20"/>
  <c r="AA13" i="20"/>
  <c r="Q13" i="20"/>
  <c r="I13" i="20"/>
  <c r="AI12" i="20"/>
  <c r="AA12" i="20"/>
  <c r="Q12" i="20"/>
  <c r="I12" i="20"/>
  <c r="AI11" i="20"/>
  <c r="AA11" i="20"/>
  <c r="Q11" i="20"/>
  <c r="I11" i="20"/>
  <c r="AI10" i="20"/>
  <c r="AA10" i="20"/>
  <c r="Q10" i="20"/>
  <c r="I10" i="20"/>
  <c r="AI9" i="20"/>
  <c r="AA9" i="20"/>
  <c r="Q9" i="20"/>
  <c r="I9" i="20"/>
  <c r="AI8" i="20"/>
  <c r="AA8" i="20"/>
  <c r="Q8" i="20"/>
  <c r="I8" i="20"/>
  <c r="AI7" i="20"/>
  <c r="AA7" i="20"/>
  <c r="Q7" i="20"/>
  <c r="I7" i="20"/>
  <c r="AI6" i="20"/>
  <c r="AA6" i="20"/>
  <c r="Q6" i="20"/>
  <c r="I6" i="20"/>
  <c r="AI5" i="20"/>
  <c r="AA5" i="20"/>
  <c r="Q5" i="20"/>
  <c r="I5" i="20"/>
  <c r="AG63" i="19"/>
  <c r="AE63" i="19"/>
  <c r="AC63" i="19"/>
  <c r="Y63" i="19"/>
  <c r="W63" i="19"/>
  <c r="U63" i="19"/>
  <c r="O63" i="19"/>
  <c r="M63" i="19"/>
  <c r="K63" i="19"/>
  <c r="G63" i="19"/>
  <c r="E63" i="19"/>
  <c r="C63" i="19"/>
  <c r="AH58" i="19"/>
  <c r="AG58" i="19"/>
  <c r="AF58" i="19"/>
  <c r="AE58" i="19"/>
  <c r="AD58" i="19"/>
  <c r="AC58" i="19"/>
  <c r="Z58" i="19"/>
  <c r="Y58" i="19"/>
  <c r="X58" i="19"/>
  <c r="W58" i="19"/>
  <c r="V58" i="19"/>
  <c r="U58" i="19"/>
  <c r="P58" i="19"/>
  <c r="O58" i="19"/>
  <c r="N58" i="19"/>
  <c r="M58" i="19"/>
  <c r="L58" i="19"/>
  <c r="K58" i="19"/>
  <c r="H58" i="19"/>
  <c r="F58" i="19"/>
  <c r="E58" i="19"/>
  <c r="D58" i="19"/>
  <c r="C58" i="19"/>
  <c r="AJ57" i="19"/>
  <c r="AI57" i="19"/>
  <c r="AK57" i="19" s="1"/>
  <c r="AJ55" i="19"/>
  <c r="AI55" i="19"/>
  <c r="AK55" i="19" s="1"/>
  <c r="AJ54" i="19"/>
  <c r="AI54" i="19"/>
  <c r="AK54" i="19" s="1"/>
  <c r="AJ53" i="19"/>
  <c r="AI53" i="19"/>
  <c r="AK53" i="19" s="1"/>
  <c r="AJ52" i="19"/>
  <c r="AI52" i="19"/>
  <c r="AK52" i="19" s="1"/>
  <c r="AJ51" i="19"/>
  <c r="AI51" i="19"/>
  <c r="AK51" i="19" s="1"/>
  <c r="AJ50" i="19"/>
  <c r="AI50" i="19"/>
  <c r="AK50" i="19" s="1"/>
  <c r="AJ49" i="19"/>
  <c r="AI49" i="19"/>
  <c r="AK49" i="19" s="1"/>
  <c r="AJ48" i="19"/>
  <c r="AI48" i="19"/>
  <c r="AK48" i="19" s="1"/>
  <c r="AJ47" i="19"/>
  <c r="AI47" i="19"/>
  <c r="AK47" i="19" s="1"/>
  <c r="AJ46" i="19"/>
  <c r="AI46" i="19"/>
  <c r="AK46" i="19" s="1"/>
  <c r="AJ45" i="19"/>
  <c r="AI45" i="19"/>
  <c r="AK45" i="19" s="1"/>
  <c r="AJ44" i="19"/>
  <c r="AI44" i="19"/>
  <c r="AK44" i="19" s="1"/>
  <c r="AJ43" i="19"/>
  <c r="AI43" i="19"/>
  <c r="AK43" i="19" s="1"/>
  <c r="AJ42" i="19"/>
  <c r="AI42" i="19"/>
  <c r="AK42" i="19" s="1"/>
  <c r="AJ41" i="19"/>
  <c r="AI41" i="19"/>
  <c r="AK41" i="19" s="1"/>
  <c r="AJ40" i="19"/>
  <c r="AI40" i="19"/>
  <c r="AK40" i="19" s="1"/>
  <c r="AJ39" i="19"/>
  <c r="AI39" i="19"/>
  <c r="AK39" i="19" s="1"/>
  <c r="AJ38" i="19"/>
  <c r="AI38" i="19"/>
  <c r="AK38" i="19" s="1"/>
  <c r="AJ37" i="19"/>
  <c r="AI37" i="19"/>
  <c r="AK37" i="19" s="1"/>
  <c r="AJ36" i="19"/>
  <c r="AI36" i="19"/>
  <c r="AK36" i="19" s="1"/>
  <c r="AJ35" i="19"/>
  <c r="AI35" i="19"/>
  <c r="AK35" i="19" s="1"/>
  <c r="AJ34" i="19"/>
  <c r="AI34" i="19"/>
  <c r="AK34" i="19" s="1"/>
  <c r="AJ33" i="19"/>
  <c r="AI33" i="19"/>
  <c r="Q58" i="19"/>
  <c r="AH32" i="19"/>
  <c r="AG32" i="19"/>
  <c r="AF32" i="19"/>
  <c r="AE32" i="19"/>
  <c r="AC32" i="19"/>
  <c r="Z32" i="19"/>
  <c r="Y32" i="19"/>
  <c r="X32" i="19"/>
  <c r="W32" i="19"/>
  <c r="V32" i="19"/>
  <c r="U32" i="19"/>
  <c r="P32" i="19"/>
  <c r="O32" i="19"/>
  <c r="N32" i="19"/>
  <c r="M32" i="19"/>
  <c r="L32" i="19"/>
  <c r="K32" i="19"/>
  <c r="H32" i="19"/>
  <c r="G32" i="19"/>
  <c r="F32" i="19"/>
  <c r="E32" i="19"/>
  <c r="D32" i="19"/>
  <c r="C32" i="19"/>
  <c r="AJ31" i="19"/>
  <c r="AI31" i="19"/>
  <c r="AB31" i="19"/>
  <c r="AA31" i="19"/>
  <c r="AJ30" i="19"/>
  <c r="AI30" i="19"/>
  <c r="AB30" i="19"/>
  <c r="AA30" i="19"/>
  <c r="J30" i="19"/>
  <c r="T30" i="19" s="1"/>
  <c r="I30" i="19"/>
  <c r="AJ29" i="19"/>
  <c r="AI29" i="19"/>
  <c r="AB29" i="19"/>
  <c r="AA29" i="19"/>
  <c r="J29" i="19"/>
  <c r="T29" i="19" s="1"/>
  <c r="AJ28" i="19"/>
  <c r="AI28" i="19"/>
  <c r="AB28" i="19"/>
  <c r="AA28" i="19"/>
  <c r="J28" i="19"/>
  <c r="T28" i="19" s="1"/>
  <c r="I28" i="19"/>
  <c r="AJ27" i="19"/>
  <c r="AI27" i="19"/>
  <c r="AB27" i="19"/>
  <c r="AA27" i="19"/>
  <c r="J27" i="19"/>
  <c r="T27" i="19" s="1"/>
  <c r="I27" i="19"/>
  <c r="AJ26" i="19"/>
  <c r="AI26" i="19"/>
  <c r="AB26" i="19"/>
  <c r="AA26" i="19"/>
  <c r="J26" i="19"/>
  <c r="T26" i="19" s="1"/>
  <c r="I26" i="19"/>
  <c r="AJ25" i="19"/>
  <c r="AI25" i="19"/>
  <c r="AB25" i="19"/>
  <c r="AA25" i="19"/>
  <c r="J25" i="19"/>
  <c r="T25" i="19" s="1"/>
  <c r="I25" i="19"/>
  <c r="AJ24" i="19"/>
  <c r="AI24" i="19"/>
  <c r="AB24" i="19"/>
  <c r="AA24" i="19"/>
  <c r="J24" i="19"/>
  <c r="T24" i="19" s="1"/>
  <c r="I24" i="19"/>
  <c r="AJ23" i="19"/>
  <c r="AI23" i="19"/>
  <c r="AB23" i="19"/>
  <c r="AA23" i="19"/>
  <c r="J23" i="19"/>
  <c r="T23" i="19" s="1"/>
  <c r="I23" i="19"/>
  <c r="AG20" i="19"/>
  <c r="AG21" i="19" s="1"/>
  <c r="AE20" i="19"/>
  <c r="AE21" i="19" s="1"/>
  <c r="AC20" i="19"/>
  <c r="AC21" i="19" s="1"/>
  <c r="Y20" i="19"/>
  <c r="Y21" i="19" s="1"/>
  <c r="W20" i="19"/>
  <c r="W21" i="19" s="1"/>
  <c r="U20" i="19"/>
  <c r="U21" i="19" s="1"/>
  <c r="O20" i="19"/>
  <c r="O21" i="19" s="1"/>
  <c r="M20" i="19"/>
  <c r="M21" i="19" s="1"/>
  <c r="K20" i="19"/>
  <c r="K21" i="19" s="1"/>
  <c r="G20" i="19"/>
  <c r="G21" i="19" s="1"/>
  <c r="E21" i="19"/>
  <c r="C20" i="19"/>
  <c r="AJ19" i="19"/>
  <c r="AI19" i="19"/>
  <c r="AB19" i="19"/>
  <c r="AA19" i="19"/>
  <c r="R19" i="19"/>
  <c r="Q19" i="19"/>
  <c r="J19" i="19"/>
  <c r="I19" i="19"/>
  <c r="AJ18" i="19"/>
  <c r="AI18" i="19"/>
  <c r="AB18" i="19"/>
  <c r="AA18" i="19"/>
  <c r="R18" i="19"/>
  <c r="Q18" i="19"/>
  <c r="J18" i="19"/>
  <c r="I18" i="19"/>
  <c r="AJ17" i="19"/>
  <c r="AI17" i="19"/>
  <c r="AB17" i="19"/>
  <c r="AA17" i="19"/>
  <c r="R17" i="19"/>
  <c r="Q17" i="19"/>
  <c r="J17" i="19"/>
  <c r="I17" i="19"/>
  <c r="AJ16" i="19"/>
  <c r="AI16" i="19"/>
  <c r="AB16" i="19"/>
  <c r="AA16" i="19"/>
  <c r="R16" i="19"/>
  <c r="Q16" i="19"/>
  <c r="J16" i="19"/>
  <c r="I16" i="19"/>
  <c r="AJ15" i="19"/>
  <c r="AI15" i="19"/>
  <c r="AB15" i="19"/>
  <c r="AA15" i="19"/>
  <c r="R15" i="19"/>
  <c r="Q15" i="19"/>
  <c r="J15" i="19"/>
  <c r="I15" i="19"/>
  <c r="AI14" i="19"/>
  <c r="AA14" i="19"/>
  <c r="Q14" i="19"/>
  <c r="I14" i="19"/>
  <c r="AI13" i="19"/>
  <c r="AA13" i="19"/>
  <c r="Q13" i="19"/>
  <c r="I13" i="19"/>
  <c r="AI12" i="19"/>
  <c r="AA12" i="19"/>
  <c r="Q12" i="19"/>
  <c r="I12" i="19"/>
  <c r="AI11" i="19"/>
  <c r="AA11" i="19"/>
  <c r="Q11" i="19"/>
  <c r="I11" i="19"/>
  <c r="AI10" i="19"/>
  <c r="AA10" i="19"/>
  <c r="Q10" i="19"/>
  <c r="I10" i="19"/>
  <c r="AI9" i="19"/>
  <c r="AA9" i="19"/>
  <c r="Q9" i="19"/>
  <c r="I9" i="19"/>
  <c r="AI8" i="19"/>
  <c r="AA8" i="19"/>
  <c r="Q8" i="19"/>
  <c r="I8" i="19"/>
  <c r="AI7" i="19"/>
  <c r="AA7" i="19"/>
  <c r="Q7" i="19"/>
  <c r="I7" i="19"/>
  <c r="AI6" i="19"/>
  <c r="AA6" i="19"/>
  <c r="Q6" i="19"/>
  <c r="I6" i="19"/>
  <c r="AI5" i="19"/>
  <c r="AA5" i="19"/>
  <c r="Q5" i="19"/>
  <c r="I5" i="19"/>
  <c r="I63" i="19" s="1"/>
  <c r="AG63" i="18"/>
  <c r="AE63" i="18"/>
  <c r="AC63" i="18"/>
  <c r="Y63" i="18"/>
  <c r="W63" i="18"/>
  <c r="U63" i="18"/>
  <c r="O63" i="18"/>
  <c r="M63" i="18"/>
  <c r="K63" i="18"/>
  <c r="G63" i="18"/>
  <c r="E63" i="18"/>
  <c r="C63" i="18"/>
  <c r="AH58" i="18"/>
  <c r="AH57" i="23" s="1"/>
  <c r="AH58" i="23" s="1"/>
  <c r="AG58" i="18"/>
  <c r="AG58" i="23" s="1"/>
  <c r="AG59" i="23" s="1"/>
  <c r="AG61" i="23" s="1"/>
  <c r="AG62" i="23" s="1"/>
  <c r="AF58" i="18"/>
  <c r="AF58" i="23" s="1"/>
  <c r="AF59" i="23" s="1"/>
  <c r="AE58" i="18"/>
  <c r="AE58" i="23" s="1"/>
  <c r="AE59" i="23" s="1"/>
  <c r="AE61" i="23" s="1"/>
  <c r="AE62" i="23" s="1"/>
  <c r="AD58" i="18"/>
  <c r="AD57" i="23" s="1"/>
  <c r="AC58" i="18"/>
  <c r="Z58" i="18"/>
  <c r="Z58" i="23" s="1"/>
  <c r="Z59" i="23" s="1"/>
  <c r="Y58" i="18"/>
  <c r="Y58" i="23" s="1"/>
  <c r="Y59" i="23" s="1"/>
  <c r="Y61" i="23" s="1"/>
  <c r="Y62" i="23" s="1"/>
  <c r="X58" i="18"/>
  <c r="X58" i="23" s="1"/>
  <c r="X59" i="23" s="1"/>
  <c r="W58" i="18"/>
  <c r="W58" i="23" s="1"/>
  <c r="W59" i="23" s="1"/>
  <c r="W61" i="23" s="1"/>
  <c r="W62" i="23" s="1"/>
  <c r="V58" i="18"/>
  <c r="U58" i="18"/>
  <c r="P58" i="18"/>
  <c r="P58" i="23" s="1"/>
  <c r="P59" i="23" s="1"/>
  <c r="O58" i="18"/>
  <c r="O58" i="23" s="1"/>
  <c r="O59" i="23" s="1"/>
  <c r="O61" i="23" s="1"/>
  <c r="O62" i="23" s="1"/>
  <c r="N58" i="18"/>
  <c r="N58" i="23" s="1"/>
  <c r="N59" i="23" s="1"/>
  <c r="M58" i="18"/>
  <c r="M58" i="23" s="1"/>
  <c r="M59" i="23" s="1"/>
  <c r="M61" i="23" s="1"/>
  <c r="M62" i="23" s="1"/>
  <c r="L58" i="18"/>
  <c r="K58" i="18"/>
  <c r="H58" i="18"/>
  <c r="G58" i="18"/>
  <c r="G58" i="23" s="1"/>
  <c r="G59" i="23" s="1"/>
  <c r="G61" i="23" s="1"/>
  <c r="G62" i="23" s="1"/>
  <c r="F58" i="18"/>
  <c r="E58" i="18"/>
  <c r="E58" i="23" s="1"/>
  <c r="E59" i="23" s="1"/>
  <c r="E61" i="23" s="1"/>
  <c r="E62" i="23" s="1"/>
  <c r="C58" i="18"/>
  <c r="AJ57" i="18"/>
  <c r="AI57" i="18"/>
  <c r="AB57" i="18"/>
  <c r="AA57" i="18"/>
  <c r="R57" i="18"/>
  <c r="Q57" i="18"/>
  <c r="S57" i="18" s="1"/>
  <c r="J57" i="18"/>
  <c r="AJ55" i="18"/>
  <c r="AI55" i="18"/>
  <c r="AB55" i="18"/>
  <c r="AA55" i="18"/>
  <c r="R55" i="18"/>
  <c r="Q55" i="18"/>
  <c r="J55" i="18"/>
  <c r="I55" i="18"/>
  <c r="AJ54" i="18"/>
  <c r="AI54" i="18"/>
  <c r="AB54" i="18"/>
  <c r="AA54" i="18"/>
  <c r="R54" i="18"/>
  <c r="Q54" i="18"/>
  <c r="J54" i="18"/>
  <c r="I54" i="18"/>
  <c r="AJ53" i="18"/>
  <c r="AI53" i="18"/>
  <c r="AB53" i="18"/>
  <c r="AA53" i="18"/>
  <c r="R53" i="18"/>
  <c r="Q53" i="18"/>
  <c r="J53" i="18"/>
  <c r="I53" i="18"/>
  <c r="AJ52" i="18"/>
  <c r="AI52" i="18"/>
  <c r="AB52" i="18"/>
  <c r="AA52" i="18"/>
  <c r="R52" i="18"/>
  <c r="Q52" i="18"/>
  <c r="J52" i="18"/>
  <c r="I52" i="18"/>
  <c r="AJ51" i="18"/>
  <c r="AI51" i="18"/>
  <c r="R51" i="18"/>
  <c r="Q51" i="18"/>
  <c r="AJ50" i="18"/>
  <c r="AI50" i="18"/>
  <c r="AJ49" i="18"/>
  <c r="AI49" i="18"/>
  <c r="AJ48" i="18"/>
  <c r="AI48" i="18"/>
  <c r="AJ47" i="18"/>
  <c r="AI47" i="18"/>
  <c r="AJ46" i="18"/>
  <c r="AI46" i="18"/>
  <c r="AJ45" i="18"/>
  <c r="AI45" i="18"/>
  <c r="AJ44" i="18"/>
  <c r="AI44" i="18"/>
  <c r="AJ43" i="18"/>
  <c r="AI43" i="18"/>
  <c r="AJ42" i="18"/>
  <c r="AI42" i="18"/>
  <c r="AJ41" i="18"/>
  <c r="AI41" i="18"/>
  <c r="AJ40" i="18"/>
  <c r="AI40" i="18"/>
  <c r="AJ39" i="18"/>
  <c r="AI39" i="18"/>
  <c r="AJ38" i="18"/>
  <c r="AI38" i="18"/>
  <c r="AJ37" i="18"/>
  <c r="AI37" i="18"/>
  <c r="AJ36" i="18"/>
  <c r="AI36" i="18"/>
  <c r="AJ35" i="18"/>
  <c r="AI35" i="18"/>
  <c r="AJ34" i="18"/>
  <c r="AI34" i="18"/>
  <c r="AJ33" i="18"/>
  <c r="AI33" i="18"/>
  <c r="AH32" i="18"/>
  <c r="AG32" i="18"/>
  <c r="AF32" i="18"/>
  <c r="AE32" i="18"/>
  <c r="AE59" i="18" s="1"/>
  <c r="AD32" i="18"/>
  <c r="AC32" i="18"/>
  <c r="Z32" i="18"/>
  <c r="Y32" i="18"/>
  <c r="Y59" i="18" s="1"/>
  <c r="X32" i="18"/>
  <c r="W32" i="18"/>
  <c r="V32" i="18"/>
  <c r="U32" i="18"/>
  <c r="P32" i="18"/>
  <c r="O32" i="18"/>
  <c r="N32" i="18"/>
  <c r="M32" i="18"/>
  <c r="M59" i="18" s="1"/>
  <c r="L32" i="18"/>
  <c r="K32" i="18"/>
  <c r="H32" i="18"/>
  <c r="G32" i="18"/>
  <c r="F32" i="18"/>
  <c r="E32" i="18"/>
  <c r="C32" i="18"/>
  <c r="AJ31" i="18"/>
  <c r="AI31" i="18"/>
  <c r="R31" i="18"/>
  <c r="Q31" i="18"/>
  <c r="AJ30" i="18"/>
  <c r="AI30" i="18"/>
  <c r="R30" i="18"/>
  <c r="Q30" i="18"/>
  <c r="AJ29" i="18"/>
  <c r="AI29" i="18"/>
  <c r="R29" i="18"/>
  <c r="Q29" i="18"/>
  <c r="AJ28" i="18"/>
  <c r="AI28" i="18"/>
  <c r="R28" i="18"/>
  <c r="Q28" i="18"/>
  <c r="AJ27" i="18"/>
  <c r="AI27" i="18"/>
  <c r="R27" i="18"/>
  <c r="Q27" i="18"/>
  <c r="AJ26" i="18"/>
  <c r="AI26" i="18"/>
  <c r="R26" i="18"/>
  <c r="Q26" i="18"/>
  <c r="AJ25" i="18"/>
  <c r="AI25" i="18"/>
  <c r="R25" i="18"/>
  <c r="Q25" i="18"/>
  <c r="AJ24" i="18"/>
  <c r="AI24" i="18"/>
  <c r="R24" i="18"/>
  <c r="Q24" i="18"/>
  <c r="AJ23" i="18"/>
  <c r="AI23" i="18"/>
  <c r="AI32" i="18" s="1"/>
  <c r="AB32" i="18"/>
  <c r="AA32" i="18"/>
  <c r="R23" i="18"/>
  <c r="Q23" i="18"/>
  <c r="J32" i="18"/>
  <c r="I32" i="18"/>
  <c r="AG20" i="18"/>
  <c r="AG21" i="18" s="1"/>
  <c r="AE20" i="18"/>
  <c r="AE21" i="18" s="1"/>
  <c r="AC20" i="18"/>
  <c r="AC21" i="18" s="1"/>
  <c r="Y20" i="18"/>
  <c r="Y21" i="18" s="1"/>
  <c r="W20" i="18"/>
  <c r="W21" i="18" s="1"/>
  <c r="U20" i="18"/>
  <c r="U21" i="18" s="1"/>
  <c r="O20" i="18"/>
  <c r="O21" i="18" s="1"/>
  <c r="M20" i="18"/>
  <c r="M21" i="18" s="1"/>
  <c r="K20" i="18"/>
  <c r="K21" i="18" s="1"/>
  <c r="G20" i="18"/>
  <c r="G21" i="18" s="1"/>
  <c r="E20" i="18"/>
  <c r="E21" i="18" s="1"/>
  <c r="C20" i="18"/>
  <c r="C21" i="18" s="1"/>
  <c r="AJ19" i="18"/>
  <c r="AI19" i="18"/>
  <c r="AB19" i="18"/>
  <c r="AA19" i="18"/>
  <c r="R19" i="18"/>
  <c r="Q19" i="18"/>
  <c r="J19" i="18"/>
  <c r="I19" i="18"/>
  <c r="AJ18" i="18"/>
  <c r="AI18" i="18"/>
  <c r="AB18" i="18"/>
  <c r="AA18" i="18"/>
  <c r="R18" i="18"/>
  <c r="Q18" i="18"/>
  <c r="J18" i="18"/>
  <c r="I18" i="18"/>
  <c r="AJ17" i="18"/>
  <c r="AI17" i="18"/>
  <c r="AB17" i="18"/>
  <c r="AA17" i="18"/>
  <c r="R17" i="18"/>
  <c r="Q17" i="18"/>
  <c r="J17" i="18"/>
  <c r="I17" i="18"/>
  <c r="AJ16" i="18"/>
  <c r="AI16" i="18"/>
  <c r="AB16" i="18"/>
  <c r="AA16" i="18"/>
  <c r="R16" i="18"/>
  <c r="Q16" i="18"/>
  <c r="J16" i="18"/>
  <c r="I16" i="18"/>
  <c r="AJ15" i="18"/>
  <c r="AI15" i="18"/>
  <c r="AB15" i="18"/>
  <c r="AA15" i="18"/>
  <c r="R15" i="18"/>
  <c r="Q15" i="18"/>
  <c r="J15" i="18"/>
  <c r="I15" i="18"/>
  <c r="AI14" i="18"/>
  <c r="AA14" i="18"/>
  <c r="Q14" i="18"/>
  <c r="I14" i="18"/>
  <c r="AI13" i="18"/>
  <c r="AA13" i="18"/>
  <c r="Q13" i="18"/>
  <c r="I13" i="18"/>
  <c r="AI12" i="18"/>
  <c r="AA12" i="18"/>
  <c r="Q12" i="18"/>
  <c r="I12" i="18"/>
  <c r="AI11" i="18"/>
  <c r="AA11" i="18"/>
  <c r="Q11" i="18"/>
  <c r="I11" i="18"/>
  <c r="AI10" i="18"/>
  <c r="AA10" i="18"/>
  <c r="Q10" i="18"/>
  <c r="I10" i="18"/>
  <c r="AI9" i="18"/>
  <c r="AA9" i="18"/>
  <c r="Q9" i="18"/>
  <c r="I9" i="18"/>
  <c r="AI8" i="18"/>
  <c r="AA8" i="18"/>
  <c r="Q8" i="18"/>
  <c r="I8" i="18"/>
  <c r="AI7" i="18"/>
  <c r="AA7" i="18"/>
  <c r="Q7" i="18"/>
  <c r="I7" i="18"/>
  <c r="AI6" i="18"/>
  <c r="AA6" i="18"/>
  <c r="Q6" i="18"/>
  <c r="I6" i="18"/>
  <c r="AI5" i="18"/>
  <c r="Q5" i="18"/>
  <c r="I5" i="18"/>
  <c r="AA5" i="12"/>
  <c r="AA63" i="12" s="1"/>
  <c r="AI5" i="12"/>
  <c r="J15" i="12"/>
  <c r="J16" i="12"/>
  <c r="J17" i="12"/>
  <c r="J18" i="12"/>
  <c r="J19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7" i="12"/>
  <c r="R15" i="12"/>
  <c r="R16" i="12"/>
  <c r="R17" i="12"/>
  <c r="R18" i="12"/>
  <c r="R19" i="12"/>
  <c r="R33" i="12"/>
  <c r="R34" i="12"/>
  <c r="R35" i="12"/>
  <c r="R36" i="12"/>
  <c r="R37" i="12"/>
  <c r="R38" i="12"/>
  <c r="R39" i="12"/>
  <c r="R40" i="12"/>
  <c r="R41" i="12"/>
  <c r="R42" i="12"/>
  <c r="R43" i="12"/>
  <c r="R44" i="12"/>
  <c r="R45" i="12"/>
  <c r="R46" i="12"/>
  <c r="R47" i="12"/>
  <c r="R48" i="12"/>
  <c r="R49" i="12"/>
  <c r="R50" i="12"/>
  <c r="R51" i="12"/>
  <c r="R52" i="12"/>
  <c r="R53" i="12"/>
  <c r="R54" i="12"/>
  <c r="R55" i="12"/>
  <c r="R57" i="12"/>
  <c r="AJ57" i="12"/>
  <c r="AI57" i="12"/>
  <c r="AJ55" i="12"/>
  <c r="AI55" i="12"/>
  <c r="AJ54" i="12"/>
  <c r="AI54" i="12"/>
  <c r="AK54" i="12" s="1"/>
  <c r="AJ53" i="12"/>
  <c r="AI53" i="12"/>
  <c r="AJ52" i="12"/>
  <c r="AL52" i="12" s="1"/>
  <c r="AI52" i="12"/>
  <c r="AK52" i="12" s="1"/>
  <c r="AJ51" i="12"/>
  <c r="AI51" i="12"/>
  <c r="AJ50" i="12"/>
  <c r="AL50" i="12" s="1"/>
  <c r="AI50" i="12"/>
  <c r="AK50" i="12" s="1"/>
  <c r="AJ49" i="12"/>
  <c r="AI49" i="12"/>
  <c r="AJ48" i="12"/>
  <c r="AI48" i="12"/>
  <c r="AK48" i="12" s="1"/>
  <c r="AJ47" i="12"/>
  <c r="AI47" i="12"/>
  <c r="AJ46" i="12"/>
  <c r="AL46" i="12" s="1"/>
  <c r="AI46" i="12"/>
  <c r="AK46" i="12" s="1"/>
  <c r="AJ45" i="12"/>
  <c r="AI45" i="12"/>
  <c r="AJ44" i="12"/>
  <c r="AI44" i="12"/>
  <c r="AK44" i="12" s="1"/>
  <c r="AJ43" i="12"/>
  <c r="AI43" i="12"/>
  <c r="AJ42" i="12"/>
  <c r="AL42" i="12" s="1"/>
  <c r="AI42" i="12"/>
  <c r="AK42" i="12" s="1"/>
  <c r="AJ41" i="12"/>
  <c r="AI41" i="12"/>
  <c r="AJ40" i="12"/>
  <c r="AL40" i="12" s="1"/>
  <c r="AI40" i="12"/>
  <c r="AK40" i="12" s="1"/>
  <c r="AJ39" i="12"/>
  <c r="AI39" i="12"/>
  <c r="AJ38" i="12"/>
  <c r="AL38" i="12" s="1"/>
  <c r="AI38" i="12"/>
  <c r="AK38" i="12" s="1"/>
  <c r="AJ37" i="12"/>
  <c r="AI37" i="12"/>
  <c r="AJ36" i="12"/>
  <c r="AL36" i="12" s="1"/>
  <c r="AI36" i="12"/>
  <c r="AK36" i="12" s="1"/>
  <c r="AJ35" i="12"/>
  <c r="AI35" i="12"/>
  <c r="AJ34" i="12"/>
  <c r="AL34" i="12" s="1"/>
  <c r="AI34" i="12"/>
  <c r="AK34" i="12" s="1"/>
  <c r="AJ33" i="12"/>
  <c r="AI33" i="12"/>
  <c r="AJ31" i="12"/>
  <c r="AI31" i="12"/>
  <c r="AK31" i="12" s="1"/>
  <c r="AJ30" i="12"/>
  <c r="AI30" i="12"/>
  <c r="AJ29" i="12"/>
  <c r="AI29" i="12"/>
  <c r="AK29" i="12" s="1"/>
  <c r="AJ28" i="12"/>
  <c r="AI28" i="12"/>
  <c r="AJ27" i="12"/>
  <c r="AI27" i="12"/>
  <c r="AK27" i="12" s="1"/>
  <c r="AJ26" i="12"/>
  <c r="AI26" i="12"/>
  <c r="AJ25" i="12"/>
  <c r="AI25" i="12"/>
  <c r="AK25" i="12" s="1"/>
  <c r="AJ24" i="12"/>
  <c r="AI24" i="12"/>
  <c r="AJ23" i="12"/>
  <c r="AI23" i="12"/>
  <c r="AJ19" i="12"/>
  <c r="AI19" i="12"/>
  <c r="AJ18" i="12"/>
  <c r="AI18" i="12"/>
  <c r="AJ17" i="12"/>
  <c r="AI17" i="12"/>
  <c r="AJ16" i="12"/>
  <c r="AI16" i="12"/>
  <c r="AJ15" i="12"/>
  <c r="AI15" i="12"/>
  <c r="AI14" i="12"/>
  <c r="AI13" i="12"/>
  <c r="AI12" i="12"/>
  <c r="AI11" i="12"/>
  <c r="AI10" i="12"/>
  <c r="AI9" i="12"/>
  <c r="AI8" i="12"/>
  <c r="AI7" i="12"/>
  <c r="AI6" i="12"/>
  <c r="AI63" i="12"/>
  <c r="AB57" i="12"/>
  <c r="AA57" i="12"/>
  <c r="AB55" i="12"/>
  <c r="AA55" i="12"/>
  <c r="AA32" i="12"/>
  <c r="AB19" i="12"/>
  <c r="AA19" i="12"/>
  <c r="AB18" i="12"/>
  <c r="AA18" i="12"/>
  <c r="AB17" i="12"/>
  <c r="AA17" i="12"/>
  <c r="AB16" i="12"/>
  <c r="AA16" i="12"/>
  <c r="AB15" i="12"/>
  <c r="AA15" i="12"/>
  <c r="AA14" i="12"/>
  <c r="AA13" i="12"/>
  <c r="AA12" i="12"/>
  <c r="AA11" i="12"/>
  <c r="AA10" i="12"/>
  <c r="AA9" i="12"/>
  <c r="AA8" i="12"/>
  <c r="AA7" i="12"/>
  <c r="AA6" i="12"/>
  <c r="Q57" i="12"/>
  <c r="Q55" i="12"/>
  <c r="Q54" i="12"/>
  <c r="Q53" i="12"/>
  <c r="Q52" i="12"/>
  <c r="Q51" i="12"/>
  <c r="Q50" i="12"/>
  <c r="Q49" i="12"/>
  <c r="Q48" i="12"/>
  <c r="Q47" i="12"/>
  <c r="Q46" i="12"/>
  <c r="Q45" i="12"/>
  <c r="Q44" i="12"/>
  <c r="Q43" i="12"/>
  <c r="Q42" i="12"/>
  <c r="Q41" i="12"/>
  <c r="Q40" i="12"/>
  <c r="Q39" i="12"/>
  <c r="Q38" i="12"/>
  <c r="Q37" i="12"/>
  <c r="Q36" i="12"/>
  <c r="Q35" i="12"/>
  <c r="S35" i="12" s="1"/>
  <c r="Q34" i="12"/>
  <c r="Q33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Q6" i="12"/>
  <c r="Q5" i="12"/>
  <c r="Q63" i="12" s="1"/>
  <c r="AH32" i="12"/>
  <c r="AG32" i="12"/>
  <c r="AE32" i="12"/>
  <c r="AD32" i="12"/>
  <c r="AC32" i="12"/>
  <c r="Z32" i="12"/>
  <c r="Y32" i="12"/>
  <c r="X32" i="12"/>
  <c r="W32" i="12"/>
  <c r="V32" i="12"/>
  <c r="U32" i="12"/>
  <c r="P32" i="12"/>
  <c r="O32" i="12"/>
  <c r="N32" i="12"/>
  <c r="M32" i="12"/>
  <c r="L32" i="12"/>
  <c r="K32" i="12"/>
  <c r="H32" i="12"/>
  <c r="G32" i="12"/>
  <c r="F32" i="12"/>
  <c r="F59" i="12" s="1"/>
  <c r="E32" i="12"/>
  <c r="I5" i="12"/>
  <c r="I63" i="12" s="1"/>
  <c r="E58" i="12"/>
  <c r="G58" i="12"/>
  <c r="K58" i="12"/>
  <c r="L58" i="12"/>
  <c r="M58" i="12"/>
  <c r="N58" i="12"/>
  <c r="O58" i="12"/>
  <c r="P58" i="12"/>
  <c r="U58" i="12"/>
  <c r="V58" i="12"/>
  <c r="W58" i="12"/>
  <c r="X58" i="12"/>
  <c r="Y58" i="12"/>
  <c r="Z58" i="12"/>
  <c r="AC58" i="12"/>
  <c r="AD58" i="12"/>
  <c r="AE58" i="12"/>
  <c r="AF58" i="12"/>
  <c r="AG58" i="12"/>
  <c r="E63" i="12"/>
  <c r="G63" i="12"/>
  <c r="K63" i="12"/>
  <c r="M63" i="12"/>
  <c r="O63" i="12"/>
  <c r="U63" i="12"/>
  <c r="W63" i="12"/>
  <c r="Y63" i="12"/>
  <c r="AC63" i="12"/>
  <c r="AE63" i="12"/>
  <c r="AG63" i="12"/>
  <c r="C58" i="12"/>
  <c r="I34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7" i="12"/>
  <c r="I33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E20" i="12"/>
  <c r="E21" i="12" s="1"/>
  <c r="G20" i="12"/>
  <c r="G21" i="12" s="1"/>
  <c r="K20" i="12"/>
  <c r="K21" i="12" s="1"/>
  <c r="M20" i="12"/>
  <c r="M21" i="12" s="1"/>
  <c r="O20" i="12"/>
  <c r="O21" i="12" s="1"/>
  <c r="U20" i="12"/>
  <c r="U21" i="12" s="1"/>
  <c r="U22" i="12" s="1"/>
  <c r="W20" i="12"/>
  <c r="W21" i="12" s="1"/>
  <c r="Y20" i="12"/>
  <c r="Y21" i="12" s="1"/>
  <c r="AC20" i="12"/>
  <c r="AC21" i="12" s="1"/>
  <c r="AE20" i="12"/>
  <c r="AE21" i="12" s="1"/>
  <c r="AG20" i="12"/>
  <c r="AG21" i="12" s="1"/>
  <c r="C21" i="12"/>
  <c r="J7" i="20"/>
  <c r="J14" i="20"/>
  <c r="J8" i="20"/>
  <c r="J9" i="20"/>
  <c r="J10" i="20"/>
  <c r="J13" i="20"/>
  <c r="J7" i="19"/>
  <c r="J14" i="19"/>
  <c r="J8" i="19"/>
  <c r="J9" i="19"/>
  <c r="J10" i="19"/>
  <c r="J13" i="19"/>
  <c r="J7" i="18"/>
  <c r="J14" i="18"/>
  <c r="J8" i="18"/>
  <c r="J9" i="18"/>
  <c r="J10" i="18"/>
  <c r="J13" i="18"/>
  <c r="F62" i="23"/>
  <c r="C63" i="12"/>
  <c r="C32" i="12"/>
  <c r="AB64" i="24" l="1"/>
  <c r="AB61" i="24"/>
  <c r="L59" i="19"/>
  <c r="U59" i="18"/>
  <c r="Z59" i="19"/>
  <c r="AM32" i="19"/>
  <c r="I20" i="19"/>
  <c r="AJ32" i="18"/>
  <c r="AM63" i="19"/>
  <c r="T42" i="12"/>
  <c r="T18" i="20"/>
  <c r="AM58" i="20"/>
  <c r="AM63" i="20"/>
  <c r="Q32" i="18"/>
  <c r="S57" i="12"/>
  <c r="S52" i="12"/>
  <c r="S48" i="12"/>
  <c r="R32" i="18"/>
  <c r="C21" i="20"/>
  <c r="AM21" i="20" s="1"/>
  <c r="AM22" i="20" s="1"/>
  <c r="AM20" i="20"/>
  <c r="C21" i="19"/>
  <c r="AM21" i="19" s="1"/>
  <c r="AM20" i="19"/>
  <c r="AM58" i="19"/>
  <c r="AH59" i="19"/>
  <c r="S34" i="12"/>
  <c r="AK57" i="12"/>
  <c r="T33" i="12"/>
  <c r="S42" i="12"/>
  <c r="T18" i="12"/>
  <c r="AD58" i="23"/>
  <c r="AD59" i="23" s="1"/>
  <c r="AJ57" i="23"/>
  <c r="AJ58" i="23" s="1"/>
  <c r="AJ59" i="23" s="1"/>
  <c r="S54" i="12"/>
  <c r="S50" i="12"/>
  <c r="S46" i="12"/>
  <c r="S38" i="12"/>
  <c r="AL57" i="12"/>
  <c r="AJ58" i="18"/>
  <c r="V58" i="23"/>
  <c r="V59" i="23" s="1"/>
  <c r="AB57" i="23"/>
  <c r="AJ58" i="20"/>
  <c r="S16" i="12"/>
  <c r="S12" i="12"/>
  <c r="S8" i="12"/>
  <c r="AK5" i="12"/>
  <c r="AK63" i="12" s="1"/>
  <c r="AD59" i="19"/>
  <c r="N59" i="19"/>
  <c r="R58" i="18"/>
  <c r="L58" i="23"/>
  <c r="R57" i="23"/>
  <c r="T34" i="12"/>
  <c r="AC58" i="23"/>
  <c r="AC59" i="23" s="1"/>
  <c r="AC61" i="23" s="1"/>
  <c r="AC62" i="23" s="1"/>
  <c r="AI57" i="23"/>
  <c r="AI58" i="23" s="1"/>
  <c r="AI59" i="23" s="1"/>
  <c r="AI61" i="23" s="1"/>
  <c r="AI62" i="23" s="1"/>
  <c r="AA58" i="18"/>
  <c r="AA59" i="18" s="1"/>
  <c r="U58" i="23"/>
  <c r="U59" i="23" s="1"/>
  <c r="U61" i="23" s="1"/>
  <c r="U62" i="23" s="1"/>
  <c r="AA57" i="23"/>
  <c r="K58" i="23"/>
  <c r="K59" i="23" s="1"/>
  <c r="K61" i="23" s="1"/>
  <c r="K62" i="23" s="1"/>
  <c r="Q57" i="23"/>
  <c r="Q58" i="23" s="1"/>
  <c r="Q59" i="23" s="1"/>
  <c r="Q61" i="23" s="1"/>
  <c r="Q62" i="23" s="1"/>
  <c r="AM58" i="23"/>
  <c r="I58" i="18"/>
  <c r="I20" i="18"/>
  <c r="T54" i="12"/>
  <c r="AI58" i="20"/>
  <c r="AK10" i="12"/>
  <c r="AK14" i="12"/>
  <c r="I57" i="23"/>
  <c r="AJ32" i="20"/>
  <c r="AA58" i="20"/>
  <c r="AA59" i="20" s="1"/>
  <c r="T37" i="12"/>
  <c r="S45" i="12"/>
  <c r="S53" i="12"/>
  <c r="AK9" i="12"/>
  <c r="AK13" i="12"/>
  <c r="AK16" i="12"/>
  <c r="AK18" i="12"/>
  <c r="AF59" i="19"/>
  <c r="X59" i="19"/>
  <c r="V59" i="19"/>
  <c r="P59" i="19"/>
  <c r="P59" i="12"/>
  <c r="R32" i="20"/>
  <c r="L59" i="12"/>
  <c r="H59" i="19"/>
  <c r="AL60" i="24"/>
  <c r="Q58" i="20"/>
  <c r="O59" i="19"/>
  <c r="O60" i="19" s="1"/>
  <c r="O64" i="19" s="1"/>
  <c r="O65" i="19" s="1"/>
  <c r="K59" i="19"/>
  <c r="K60" i="19" s="1"/>
  <c r="K64" i="19" s="1"/>
  <c r="K65" i="19" s="1"/>
  <c r="Q20" i="19"/>
  <c r="S44" i="12"/>
  <c r="S40" i="12"/>
  <c r="S36" i="12"/>
  <c r="S33" i="12"/>
  <c r="N59" i="12"/>
  <c r="K59" i="12"/>
  <c r="K60" i="12" s="1"/>
  <c r="K64" i="12" s="1"/>
  <c r="K65" i="12" s="1"/>
  <c r="AI58" i="12"/>
  <c r="T46" i="12"/>
  <c r="T38" i="12"/>
  <c r="T17" i="12"/>
  <c r="AI20" i="19"/>
  <c r="AI21" i="19" s="1"/>
  <c r="R32" i="19"/>
  <c r="AJ32" i="19"/>
  <c r="T53" i="12"/>
  <c r="T49" i="12"/>
  <c r="T41" i="12"/>
  <c r="Q20" i="18"/>
  <c r="Q21" i="18" s="1"/>
  <c r="S19" i="19"/>
  <c r="Q32" i="20"/>
  <c r="AI32" i="20"/>
  <c r="F59" i="19"/>
  <c r="J58" i="19"/>
  <c r="I20" i="20"/>
  <c r="I21" i="20" s="1"/>
  <c r="S18" i="20"/>
  <c r="AK18" i="20"/>
  <c r="S19" i="20"/>
  <c r="R58" i="20"/>
  <c r="I32" i="19"/>
  <c r="I59" i="19" s="1"/>
  <c r="AA32" i="19"/>
  <c r="Q32" i="19"/>
  <c r="Q59" i="19" s="1"/>
  <c r="AI32" i="19"/>
  <c r="S14" i="12"/>
  <c r="T45" i="12"/>
  <c r="S10" i="12"/>
  <c r="T19" i="12"/>
  <c r="T15" i="12"/>
  <c r="S18" i="12"/>
  <c r="S6" i="12"/>
  <c r="J32" i="19"/>
  <c r="J58" i="20"/>
  <c r="I32" i="20"/>
  <c r="I59" i="20" s="1"/>
  <c r="E59" i="19"/>
  <c r="E60" i="19" s="1"/>
  <c r="T51" i="12"/>
  <c r="T47" i="12"/>
  <c r="T43" i="12"/>
  <c r="T39" i="12"/>
  <c r="T35" i="12"/>
  <c r="G59" i="18"/>
  <c r="G60" i="18" s="1"/>
  <c r="G64" i="18" s="1"/>
  <c r="G65" i="18" s="1"/>
  <c r="J32" i="20"/>
  <c r="C58" i="23"/>
  <c r="C59" i="23" s="1"/>
  <c r="C59" i="20"/>
  <c r="C59" i="19"/>
  <c r="G59" i="19"/>
  <c r="G60" i="19" s="1"/>
  <c r="G64" i="19" s="1"/>
  <c r="G65" i="19" s="1"/>
  <c r="M59" i="19"/>
  <c r="M60" i="19" s="1"/>
  <c r="M64" i="19" s="1"/>
  <c r="M65" i="19" s="1"/>
  <c r="U59" i="19"/>
  <c r="U60" i="19" s="1"/>
  <c r="U64" i="19" s="1"/>
  <c r="U65" i="19" s="1"/>
  <c r="Y59" i="19"/>
  <c r="Y60" i="19" s="1"/>
  <c r="Y64" i="19" s="1"/>
  <c r="Y65" i="19" s="1"/>
  <c r="AE59" i="19"/>
  <c r="AE60" i="19" s="1"/>
  <c r="AE64" i="19" s="1"/>
  <c r="AE65" i="19" s="1"/>
  <c r="G59" i="12"/>
  <c r="G60" i="12" s="1"/>
  <c r="G64" i="12" s="1"/>
  <c r="G65" i="12" s="1"/>
  <c r="S55" i="12"/>
  <c r="S37" i="12"/>
  <c r="S41" i="12"/>
  <c r="S49" i="12"/>
  <c r="T55" i="12"/>
  <c r="D59" i="19"/>
  <c r="T50" i="12"/>
  <c r="AM64" i="24"/>
  <c r="T60" i="24"/>
  <c r="AI20" i="20"/>
  <c r="AK15" i="20"/>
  <c r="AK16" i="20"/>
  <c r="AK17" i="20"/>
  <c r="E59" i="20"/>
  <c r="E60" i="20" s="1"/>
  <c r="E64" i="20" s="1"/>
  <c r="E65" i="20" s="1"/>
  <c r="K59" i="20"/>
  <c r="K60" i="20" s="1"/>
  <c r="K64" i="20" s="1"/>
  <c r="K65" i="20" s="1"/>
  <c r="O59" i="20"/>
  <c r="O60" i="20" s="1"/>
  <c r="O64" i="20" s="1"/>
  <c r="O65" i="20" s="1"/>
  <c r="W59" i="20"/>
  <c r="W60" i="20" s="1"/>
  <c r="W64" i="20" s="1"/>
  <c r="W65" i="20" s="1"/>
  <c r="AC59" i="20"/>
  <c r="AC60" i="20" s="1"/>
  <c r="AC64" i="20" s="1"/>
  <c r="AC65" i="20" s="1"/>
  <c r="AG59" i="20"/>
  <c r="AG60" i="20" s="1"/>
  <c r="AG64" i="20" s="1"/>
  <c r="AG65" i="20" s="1"/>
  <c r="L59" i="20"/>
  <c r="P59" i="20"/>
  <c r="X59" i="20"/>
  <c r="AD59" i="20"/>
  <c r="AH59" i="20"/>
  <c r="S7" i="20"/>
  <c r="S8" i="20"/>
  <c r="S9" i="20"/>
  <c r="S10" i="20"/>
  <c r="S12" i="20"/>
  <c r="S13" i="20"/>
  <c r="S14" i="20"/>
  <c r="S15" i="20"/>
  <c r="S16" i="20"/>
  <c r="S17" i="20"/>
  <c r="AK15" i="19"/>
  <c r="AK16" i="19"/>
  <c r="AK17" i="19"/>
  <c r="AK18" i="19"/>
  <c r="AK24" i="19"/>
  <c r="AK25" i="19"/>
  <c r="AK26" i="19"/>
  <c r="AK27" i="19"/>
  <c r="AK28" i="19"/>
  <c r="AK29" i="19"/>
  <c r="AK30" i="19"/>
  <c r="AK31" i="19"/>
  <c r="AK19" i="19"/>
  <c r="S14" i="19"/>
  <c r="S7" i="19"/>
  <c r="S8" i="19"/>
  <c r="S9" i="19"/>
  <c r="S10" i="19"/>
  <c r="S12" i="19"/>
  <c r="S13" i="19"/>
  <c r="S15" i="19"/>
  <c r="S16" i="19"/>
  <c r="S17" i="19"/>
  <c r="S18" i="19"/>
  <c r="AG59" i="19"/>
  <c r="AG60" i="19" s="1"/>
  <c r="AG64" i="19" s="1"/>
  <c r="AG65" i="19" s="1"/>
  <c r="W59" i="19"/>
  <c r="W60" i="19" s="1"/>
  <c r="AC59" i="19"/>
  <c r="AC60" i="19" s="1"/>
  <c r="AI58" i="19"/>
  <c r="AJ58" i="19"/>
  <c r="AA58" i="19"/>
  <c r="J58" i="18"/>
  <c r="J59" i="18" s="1"/>
  <c r="T15" i="18"/>
  <c r="AL15" i="18"/>
  <c r="T16" i="18"/>
  <c r="AL16" i="18"/>
  <c r="T17" i="18"/>
  <c r="AL17" i="18"/>
  <c r="T18" i="18"/>
  <c r="AL18" i="18"/>
  <c r="T19" i="18"/>
  <c r="AL19" i="18"/>
  <c r="T24" i="18"/>
  <c r="AL24" i="18"/>
  <c r="T25" i="18"/>
  <c r="AL25" i="18"/>
  <c r="T26" i="18"/>
  <c r="AL26" i="18"/>
  <c r="T27" i="18"/>
  <c r="AL27" i="18"/>
  <c r="T28" i="18"/>
  <c r="AL28" i="18"/>
  <c r="T29" i="18"/>
  <c r="AL29" i="18"/>
  <c r="T30" i="18"/>
  <c r="AL30" i="18"/>
  <c r="T31" i="18"/>
  <c r="AL31" i="18"/>
  <c r="E59" i="18"/>
  <c r="E60" i="18" s="1"/>
  <c r="K59" i="18"/>
  <c r="K60" i="18" s="1"/>
  <c r="K64" i="18" s="1"/>
  <c r="K65" i="18" s="1"/>
  <c r="O59" i="18"/>
  <c r="O60" i="18" s="1"/>
  <c r="O64" i="18" s="1"/>
  <c r="O65" i="18" s="1"/>
  <c r="W59" i="18"/>
  <c r="W60" i="18" s="1"/>
  <c r="W64" i="18" s="1"/>
  <c r="W65" i="18" s="1"/>
  <c r="AC59" i="18"/>
  <c r="AC60" i="18" s="1"/>
  <c r="AC64" i="18" s="1"/>
  <c r="AC65" i="18" s="1"/>
  <c r="AG59" i="18"/>
  <c r="AG60" i="18" s="1"/>
  <c r="Q58" i="18"/>
  <c r="AI58" i="18"/>
  <c r="AI59" i="18" s="1"/>
  <c r="AB58" i="18"/>
  <c r="AB59" i="18" s="1"/>
  <c r="AA20" i="18"/>
  <c r="AK7" i="18"/>
  <c r="AK8" i="18"/>
  <c r="AK9" i="18"/>
  <c r="AK10" i="18"/>
  <c r="AK12" i="18"/>
  <c r="AK13" i="18"/>
  <c r="AK14" i="18"/>
  <c r="U60" i="18"/>
  <c r="U64" i="18" s="1"/>
  <c r="U65" i="18" s="1"/>
  <c r="AE60" i="18"/>
  <c r="AE64" i="18" s="1"/>
  <c r="AE65" i="18" s="1"/>
  <c r="U59" i="12"/>
  <c r="U60" i="12" s="1"/>
  <c r="M59" i="12"/>
  <c r="M60" i="12" s="1"/>
  <c r="T57" i="12"/>
  <c r="T52" i="12"/>
  <c r="T44" i="12"/>
  <c r="T40" i="12"/>
  <c r="T36" i="12"/>
  <c r="S43" i="12"/>
  <c r="S47" i="12"/>
  <c r="S51" i="12"/>
  <c r="J58" i="12"/>
  <c r="J59" i="12" s="1"/>
  <c r="H59" i="12"/>
  <c r="T32" i="12"/>
  <c r="F59" i="20"/>
  <c r="G59" i="20"/>
  <c r="G60" i="20" s="1"/>
  <c r="G64" i="20" s="1"/>
  <c r="G65" i="20" s="1"/>
  <c r="M59" i="20"/>
  <c r="M60" i="20" s="1"/>
  <c r="U59" i="20"/>
  <c r="U60" i="20" s="1"/>
  <c r="U64" i="20" s="1"/>
  <c r="U65" i="20" s="1"/>
  <c r="Y59" i="20"/>
  <c r="Y60" i="20" s="1"/>
  <c r="AE59" i="20"/>
  <c r="AE60" i="20" s="1"/>
  <c r="AE64" i="20" s="1"/>
  <c r="AE65" i="20" s="1"/>
  <c r="D59" i="20"/>
  <c r="H59" i="20"/>
  <c r="N59" i="20"/>
  <c r="V59" i="20"/>
  <c r="Z59" i="20"/>
  <c r="AF59" i="20"/>
  <c r="AK19" i="20"/>
  <c r="AK24" i="20"/>
  <c r="AK26" i="20"/>
  <c r="AK27" i="20"/>
  <c r="AK28" i="20"/>
  <c r="AK29" i="20"/>
  <c r="AK30" i="20"/>
  <c r="AK31" i="20"/>
  <c r="S55" i="20"/>
  <c r="AK55" i="20"/>
  <c r="Q20" i="20"/>
  <c r="Q21" i="20" s="1"/>
  <c r="AL18" i="12"/>
  <c r="AL54" i="12"/>
  <c r="AL48" i="12"/>
  <c r="AH59" i="12"/>
  <c r="AL16" i="12"/>
  <c r="AL25" i="12"/>
  <c r="AL29" i="12"/>
  <c r="AL31" i="12"/>
  <c r="AF59" i="12"/>
  <c r="AL44" i="12"/>
  <c r="AD59" i="12"/>
  <c r="AJ58" i="12"/>
  <c r="AL27" i="12"/>
  <c r="Z59" i="12"/>
  <c r="AB58" i="19"/>
  <c r="X59" i="12"/>
  <c r="AB32" i="12"/>
  <c r="AK25" i="20"/>
  <c r="AB32" i="19"/>
  <c r="E59" i="12"/>
  <c r="E60" i="12" s="1"/>
  <c r="E64" i="12" s="1"/>
  <c r="E65" i="12" s="1"/>
  <c r="O59" i="12"/>
  <c r="O60" i="12" s="1"/>
  <c r="O64" i="12" s="1"/>
  <c r="O65" i="12" s="1"/>
  <c r="W59" i="12"/>
  <c r="W60" i="12" s="1"/>
  <c r="W64" i="12" s="1"/>
  <c r="W65" i="12" s="1"/>
  <c r="AC59" i="12"/>
  <c r="AC60" i="12" s="1"/>
  <c r="AC64" i="12" s="1"/>
  <c r="AC65" i="12" s="1"/>
  <c r="AG59" i="12"/>
  <c r="AG60" i="12" s="1"/>
  <c r="S39" i="12"/>
  <c r="I58" i="12"/>
  <c r="Y59" i="12"/>
  <c r="Y60" i="12" s="1"/>
  <c r="Y64" i="12" s="1"/>
  <c r="Y65" i="12" s="1"/>
  <c r="AE59" i="12"/>
  <c r="AE60" i="12" s="1"/>
  <c r="C59" i="12"/>
  <c r="C60" i="12" s="1"/>
  <c r="C64" i="12" s="1"/>
  <c r="AB58" i="20"/>
  <c r="AB59" i="20" s="1"/>
  <c r="V59" i="12"/>
  <c r="R58" i="19"/>
  <c r="T16" i="12"/>
  <c r="R58" i="12"/>
  <c r="T48" i="12"/>
  <c r="AG22" i="12"/>
  <c r="W22" i="12"/>
  <c r="K22" i="12"/>
  <c r="E22" i="12"/>
  <c r="AC22" i="12"/>
  <c r="O22" i="12"/>
  <c r="Y22" i="12"/>
  <c r="M22" i="12"/>
  <c r="R32" i="12"/>
  <c r="G22" i="12"/>
  <c r="S19" i="12"/>
  <c r="S15" i="12"/>
  <c r="S11" i="12"/>
  <c r="S7" i="12"/>
  <c r="Q32" i="12"/>
  <c r="AA20" i="12"/>
  <c r="AA21" i="12" s="1"/>
  <c r="AA22" i="12" s="1"/>
  <c r="F59" i="18"/>
  <c r="L59" i="18"/>
  <c r="P59" i="18"/>
  <c r="X59" i="18"/>
  <c r="AD59" i="18"/>
  <c r="AH59" i="18"/>
  <c r="Q58" i="12"/>
  <c r="AK7" i="12"/>
  <c r="AK15" i="12"/>
  <c r="AK17" i="12"/>
  <c r="AK19" i="12"/>
  <c r="AK24" i="12"/>
  <c r="AK26" i="12"/>
  <c r="AK28" i="12"/>
  <c r="AK30" i="12"/>
  <c r="AA58" i="12"/>
  <c r="AA59" i="12" s="1"/>
  <c r="AK35" i="12"/>
  <c r="AK37" i="12"/>
  <c r="AK39" i="12"/>
  <c r="AK41" i="12"/>
  <c r="AK43" i="12"/>
  <c r="AK45" i="12"/>
  <c r="AK47" i="12"/>
  <c r="AK49" i="12"/>
  <c r="AK51" i="12"/>
  <c r="AK53" i="12"/>
  <c r="AK55" i="12"/>
  <c r="AI32" i="12"/>
  <c r="AI20" i="18"/>
  <c r="AI21" i="18" s="1"/>
  <c r="R59" i="18"/>
  <c r="AK34" i="18"/>
  <c r="AK35" i="18"/>
  <c r="AK36" i="18"/>
  <c r="AK37" i="18"/>
  <c r="AK38" i="18"/>
  <c r="AK39" i="18"/>
  <c r="AK40" i="18"/>
  <c r="AK41" i="18"/>
  <c r="AK42" i="18"/>
  <c r="AK43" i="18"/>
  <c r="AK44" i="18"/>
  <c r="AK45" i="18"/>
  <c r="AK46" i="18"/>
  <c r="AK47" i="18"/>
  <c r="AK48" i="18"/>
  <c r="AK49" i="18"/>
  <c r="AK50" i="18"/>
  <c r="S51" i="18"/>
  <c r="AK51" i="18"/>
  <c r="S52" i="18"/>
  <c r="AK52" i="18"/>
  <c r="S53" i="18"/>
  <c r="AK53" i="18"/>
  <c r="S54" i="18"/>
  <c r="AK54" i="18"/>
  <c r="S55" i="18"/>
  <c r="AK55" i="18"/>
  <c r="AK57" i="18"/>
  <c r="AE22" i="12"/>
  <c r="J6" i="23"/>
  <c r="S17" i="12"/>
  <c r="S13" i="12"/>
  <c r="S9" i="12"/>
  <c r="S5" i="12"/>
  <c r="Q20" i="12"/>
  <c r="AK8" i="12"/>
  <c r="AK12" i="12"/>
  <c r="AL15" i="12"/>
  <c r="AL17" i="12"/>
  <c r="AL19" i="12"/>
  <c r="AL24" i="12"/>
  <c r="AL26" i="12"/>
  <c r="AL28" i="12"/>
  <c r="AL30" i="12"/>
  <c r="AB58" i="12"/>
  <c r="AL35" i="12"/>
  <c r="AL37" i="12"/>
  <c r="AL39" i="12"/>
  <c r="AL41" i="12"/>
  <c r="AL43" i="12"/>
  <c r="AL45" i="12"/>
  <c r="AL47" i="12"/>
  <c r="AL49" i="12"/>
  <c r="AL51" i="12"/>
  <c r="AL53" i="12"/>
  <c r="AL55" i="12"/>
  <c r="AI20" i="12"/>
  <c r="AI21" i="12" s="1"/>
  <c r="AJ32" i="12"/>
  <c r="S7" i="18"/>
  <c r="S8" i="18"/>
  <c r="S9" i="18"/>
  <c r="S10" i="18"/>
  <c r="S12" i="18"/>
  <c r="S13" i="18"/>
  <c r="S14" i="18"/>
  <c r="S15" i="18"/>
  <c r="AK15" i="18"/>
  <c r="S16" i="18"/>
  <c r="AK16" i="18"/>
  <c r="S17" i="18"/>
  <c r="AK17" i="18"/>
  <c r="S18" i="18"/>
  <c r="AK18" i="18"/>
  <c r="S19" i="18"/>
  <c r="AK19" i="18"/>
  <c r="T15" i="19"/>
  <c r="AL15" i="19"/>
  <c r="T16" i="19"/>
  <c r="AL16" i="19"/>
  <c r="T17" i="19"/>
  <c r="AL17" i="19"/>
  <c r="T18" i="19"/>
  <c r="AL18" i="19"/>
  <c r="T19" i="19"/>
  <c r="AL19" i="19"/>
  <c r="AL24" i="19"/>
  <c r="AL25" i="19"/>
  <c r="AL26" i="19"/>
  <c r="AL27" i="19"/>
  <c r="AL28" i="19"/>
  <c r="AL29" i="19"/>
  <c r="AL30" i="19"/>
  <c r="AL31" i="19"/>
  <c r="AL34" i="19"/>
  <c r="AL35" i="19"/>
  <c r="AL36" i="19"/>
  <c r="AL37" i="19"/>
  <c r="AL38" i="19"/>
  <c r="AL39" i="19"/>
  <c r="AL40" i="19"/>
  <c r="AL41" i="19"/>
  <c r="AL42" i="19"/>
  <c r="AL43" i="19"/>
  <c r="AL44" i="19"/>
  <c r="AL45" i="19"/>
  <c r="AL46" i="19"/>
  <c r="AL47" i="19"/>
  <c r="AL48" i="19"/>
  <c r="AL49" i="19"/>
  <c r="AL50" i="19"/>
  <c r="AL51" i="19"/>
  <c r="AL52" i="19"/>
  <c r="AL53" i="19"/>
  <c r="M60" i="18"/>
  <c r="M64" i="18" s="1"/>
  <c r="M65" i="18" s="1"/>
  <c r="Y60" i="18"/>
  <c r="Y64" i="18" s="1"/>
  <c r="Y65" i="18" s="1"/>
  <c r="I59" i="18"/>
  <c r="S24" i="18"/>
  <c r="AK24" i="18"/>
  <c r="S25" i="18"/>
  <c r="AK25" i="18"/>
  <c r="S26" i="18"/>
  <c r="AK26" i="18"/>
  <c r="S27" i="18"/>
  <c r="AK27" i="18"/>
  <c r="S28" i="18"/>
  <c r="AK28" i="18"/>
  <c r="S29" i="18"/>
  <c r="AK29" i="18"/>
  <c r="S30" i="18"/>
  <c r="AK30" i="18"/>
  <c r="S31" i="18"/>
  <c r="AK31" i="18"/>
  <c r="C59" i="18"/>
  <c r="C60" i="18" s="1"/>
  <c r="H59" i="18"/>
  <c r="N59" i="18"/>
  <c r="V59" i="18"/>
  <c r="Z59" i="18"/>
  <c r="AF59" i="18"/>
  <c r="AL34" i="18"/>
  <c r="AL35" i="18"/>
  <c r="AL36" i="18"/>
  <c r="AL37" i="18"/>
  <c r="AL38" i="18"/>
  <c r="AL39" i="18"/>
  <c r="AL40" i="18"/>
  <c r="AL41" i="18"/>
  <c r="AL42" i="18"/>
  <c r="AL43" i="18"/>
  <c r="AL44" i="18"/>
  <c r="AL45" i="18"/>
  <c r="AL46" i="18"/>
  <c r="AL47" i="18"/>
  <c r="AL48" i="18"/>
  <c r="AL49" i="18"/>
  <c r="AL50" i="18"/>
  <c r="T51" i="18"/>
  <c r="AL51" i="18"/>
  <c r="T52" i="18"/>
  <c r="AL52" i="18"/>
  <c r="T53" i="18"/>
  <c r="AL53" i="18"/>
  <c r="T54" i="18"/>
  <c r="AL54" i="18"/>
  <c r="T55" i="18"/>
  <c r="AL55" i="18"/>
  <c r="T57" i="18"/>
  <c r="AL57" i="18"/>
  <c r="AA20" i="19"/>
  <c r="AA21" i="19" s="1"/>
  <c r="AK7" i="19"/>
  <c r="AK8" i="19"/>
  <c r="AK9" i="19"/>
  <c r="AK10" i="19"/>
  <c r="AK12" i="19"/>
  <c r="AK13" i="19"/>
  <c r="AK14" i="19"/>
  <c r="AL54" i="19"/>
  <c r="AL55" i="19"/>
  <c r="AL57" i="19"/>
  <c r="T15" i="20"/>
  <c r="AL15" i="20"/>
  <c r="T16" i="20"/>
  <c r="AL16" i="20"/>
  <c r="T17" i="20"/>
  <c r="AL17" i="20"/>
  <c r="AL18" i="20"/>
  <c r="T19" i="20"/>
  <c r="AL19" i="20"/>
  <c r="AL24" i="20"/>
  <c r="AL25" i="20"/>
  <c r="AL26" i="20"/>
  <c r="AL27" i="20"/>
  <c r="AL28" i="20"/>
  <c r="AL29" i="20"/>
  <c r="AL30" i="20"/>
  <c r="AL31" i="20"/>
  <c r="AL55" i="20"/>
  <c r="AL57" i="20"/>
  <c r="AA20" i="20"/>
  <c r="AA21" i="20" s="1"/>
  <c r="AK7" i="20"/>
  <c r="AK8" i="20"/>
  <c r="AK9" i="20"/>
  <c r="AK10" i="20"/>
  <c r="AK12" i="20"/>
  <c r="AK13" i="20"/>
  <c r="AK14" i="20"/>
  <c r="AM20" i="23"/>
  <c r="AM21" i="23" s="1"/>
  <c r="AM32" i="23"/>
  <c r="R5" i="23"/>
  <c r="R6" i="23"/>
  <c r="AG22" i="20"/>
  <c r="AE22" i="20"/>
  <c r="AC22" i="20"/>
  <c r="Y22" i="20"/>
  <c r="W22" i="20"/>
  <c r="U22" i="20"/>
  <c r="O22" i="20"/>
  <c r="M22" i="20"/>
  <c r="K22" i="20"/>
  <c r="G22" i="20"/>
  <c r="AG22" i="19"/>
  <c r="AG61" i="19"/>
  <c r="AE22" i="19"/>
  <c r="AC22" i="19"/>
  <c r="Y22" i="19"/>
  <c r="Y61" i="19"/>
  <c r="W22" i="19"/>
  <c r="U22" i="19"/>
  <c r="O22" i="19"/>
  <c r="M22" i="19"/>
  <c r="K22" i="19"/>
  <c r="G22" i="19"/>
  <c r="AG22" i="18"/>
  <c r="AE22" i="18"/>
  <c r="AE61" i="18"/>
  <c r="AC22" i="18"/>
  <c r="Y22" i="18"/>
  <c r="Y61" i="18"/>
  <c r="W22" i="18"/>
  <c r="W61" i="18"/>
  <c r="U22" i="18"/>
  <c r="O22" i="18"/>
  <c r="O61" i="18"/>
  <c r="M22" i="18"/>
  <c r="K22" i="18"/>
  <c r="K61" i="18"/>
  <c r="G22" i="18"/>
  <c r="AK22" i="23"/>
  <c r="E22" i="20"/>
  <c r="E22" i="19"/>
  <c r="E22" i="18"/>
  <c r="J13" i="12"/>
  <c r="J13" i="23"/>
  <c r="J11" i="23"/>
  <c r="J10" i="12"/>
  <c r="J10" i="23"/>
  <c r="J9" i="12"/>
  <c r="J9" i="23"/>
  <c r="J8" i="12"/>
  <c r="J8" i="23"/>
  <c r="J14" i="12"/>
  <c r="J14" i="23"/>
  <c r="J7" i="12"/>
  <c r="J7" i="23"/>
  <c r="AJ11" i="23"/>
  <c r="AB11" i="23"/>
  <c r="R11" i="23"/>
  <c r="AJ10" i="23"/>
  <c r="AB10" i="23"/>
  <c r="R10" i="23"/>
  <c r="AJ9" i="23"/>
  <c r="AB9" i="23"/>
  <c r="R9" i="23"/>
  <c r="AJ8" i="23"/>
  <c r="AB8" i="23"/>
  <c r="R8" i="23"/>
  <c r="AJ14" i="23"/>
  <c r="AB14" i="23"/>
  <c r="R14" i="23"/>
  <c r="AJ7" i="23"/>
  <c r="AB7" i="23"/>
  <c r="R7" i="23"/>
  <c r="AJ6" i="23"/>
  <c r="AB6" i="23"/>
  <c r="AF63" i="12"/>
  <c r="AH63" i="12"/>
  <c r="AH62" i="23"/>
  <c r="Z63" i="12"/>
  <c r="X63" i="12"/>
  <c r="AK6" i="12"/>
  <c r="AK11" i="12"/>
  <c r="AK23" i="12"/>
  <c r="AL23" i="12"/>
  <c r="AK33" i="12"/>
  <c r="AL33" i="12"/>
  <c r="C22" i="20"/>
  <c r="C22" i="19"/>
  <c r="C22" i="18"/>
  <c r="I32" i="12"/>
  <c r="C22" i="12"/>
  <c r="S22" i="23"/>
  <c r="AN20" i="24"/>
  <c r="AN21" i="24" s="1"/>
  <c r="AN22" i="24" s="1"/>
  <c r="AN63" i="24"/>
  <c r="AJ10" i="20"/>
  <c r="AB10" i="20"/>
  <c r="R10" i="20"/>
  <c r="T10" i="20" s="1"/>
  <c r="AJ9" i="20"/>
  <c r="AB9" i="20"/>
  <c r="R9" i="20"/>
  <c r="T9" i="20" s="1"/>
  <c r="AJ8" i="20"/>
  <c r="AB8" i="20"/>
  <c r="R8" i="20"/>
  <c r="T8" i="20" s="1"/>
  <c r="AJ14" i="20"/>
  <c r="AB14" i="20"/>
  <c r="R14" i="20"/>
  <c r="T14" i="20" s="1"/>
  <c r="AJ7" i="20"/>
  <c r="AB7" i="20"/>
  <c r="R7" i="20"/>
  <c r="T7" i="20" s="1"/>
  <c r="AH20" i="20"/>
  <c r="AF20" i="20"/>
  <c r="AF21" i="20" s="1"/>
  <c r="AJ13" i="20"/>
  <c r="AJ12" i="20"/>
  <c r="Z20" i="20"/>
  <c r="Z21" i="20" s="1"/>
  <c r="X20" i="20"/>
  <c r="X21" i="20" s="1"/>
  <c r="AB13" i="20"/>
  <c r="AB12" i="20"/>
  <c r="P20" i="20"/>
  <c r="P21" i="20" s="1"/>
  <c r="N20" i="20"/>
  <c r="N21" i="20" s="1"/>
  <c r="R13" i="20"/>
  <c r="T13" i="20" s="1"/>
  <c r="R12" i="20"/>
  <c r="F20" i="20"/>
  <c r="F21" i="20" s="1"/>
  <c r="H20" i="20"/>
  <c r="H21" i="20" s="1"/>
  <c r="H22" i="20" s="1"/>
  <c r="AJ10" i="19"/>
  <c r="AB10" i="19"/>
  <c r="R10" i="19"/>
  <c r="T10" i="19" s="1"/>
  <c r="AJ9" i="19"/>
  <c r="AB9" i="19"/>
  <c r="R9" i="19"/>
  <c r="T9" i="19" s="1"/>
  <c r="AJ8" i="19"/>
  <c r="AB8" i="19"/>
  <c r="R8" i="19"/>
  <c r="T8" i="19" s="1"/>
  <c r="AJ14" i="19"/>
  <c r="AB14" i="19"/>
  <c r="R14" i="19"/>
  <c r="T14" i="19" s="1"/>
  <c r="AJ7" i="19"/>
  <c r="AB7" i="19"/>
  <c r="R7" i="19"/>
  <c r="T7" i="19" s="1"/>
  <c r="AH20" i="19"/>
  <c r="AH21" i="19" s="1"/>
  <c r="AF20" i="19"/>
  <c r="AF21" i="19" s="1"/>
  <c r="AJ13" i="19"/>
  <c r="AJ12" i="19"/>
  <c r="Z20" i="19"/>
  <c r="Z21" i="19" s="1"/>
  <c r="Z60" i="19" s="1"/>
  <c r="X20" i="19"/>
  <c r="X21" i="19" s="1"/>
  <c r="AB13" i="19"/>
  <c r="AB12" i="19"/>
  <c r="P20" i="19"/>
  <c r="P21" i="19" s="1"/>
  <c r="P60" i="19" s="1"/>
  <c r="N20" i="19"/>
  <c r="N21" i="19" s="1"/>
  <c r="R13" i="19"/>
  <c r="T13" i="19" s="1"/>
  <c r="R12" i="19"/>
  <c r="F20" i="19"/>
  <c r="F21" i="19" s="1"/>
  <c r="H20" i="19"/>
  <c r="H21" i="19" s="1"/>
  <c r="AJ10" i="18"/>
  <c r="AB10" i="18"/>
  <c r="R10" i="18"/>
  <c r="T10" i="18" s="1"/>
  <c r="AJ9" i="18"/>
  <c r="AB9" i="18"/>
  <c r="R9" i="18"/>
  <c r="T9" i="18" s="1"/>
  <c r="AJ8" i="18"/>
  <c r="AB8" i="18"/>
  <c r="R8" i="18"/>
  <c r="T8" i="18" s="1"/>
  <c r="AJ14" i="18"/>
  <c r="AB14" i="18"/>
  <c r="R14" i="18"/>
  <c r="T14" i="18" s="1"/>
  <c r="AJ7" i="18"/>
  <c r="AB7" i="18"/>
  <c r="R7" i="18"/>
  <c r="T7" i="18" s="1"/>
  <c r="AH20" i="18"/>
  <c r="AH21" i="18" s="1"/>
  <c r="AF20" i="18"/>
  <c r="AF21" i="18" s="1"/>
  <c r="AJ13" i="18"/>
  <c r="AJ12" i="18"/>
  <c r="Z20" i="18"/>
  <c r="Z21" i="18" s="1"/>
  <c r="Z60" i="18" s="1"/>
  <c r="X20" i="18"/>
  <c r="X21" i="18" s="1"/>
  <c r="AB13" i="18"/>
  <c r="AB12" i="18"/>
  <c r="P20" i="18"/>
  <c r="P21" i="18" s="1"/>
  <c r="P60" i="18" s="1"/>
  <c r="N20" i="18"/>
  <c r="N21" i="18" s="1"/>
  <c r="N60" i="18" s="1"/>
  <c r="R13" i="18"/>
  <c r="T13" i="18" s="1"/>
  <c r="R12" i="18"/>
  <c r="F20" i="18"/>
  <c r="F21" i="18" s="1"/>
  <c r="H20" i="18"/>
  <c r="H21" i="18" s="1"/>
  <c r="AJ11" i="12"/>
  <c r="AB11" i="12"/>
  <c r="AJ10" i="12"/>
  <c r="AB10" i="12"/>
  <c r="AJ9" i="12"/>
  <c r="AB9" i="12"/>
  <c r="AJ8" i="12"/>
  <c r="AB8" i="12"/>
  <c r="AJ14" i="12"/>
  <c r="AB14" i="12"/>
  <c r="AJ7" i="12"/>
  <c r="AB7" i="12"/>
  <c r="AJ6" i="12"/>
  <c r="AB6" i="12"/>
  <c r="AJ5" i="12"/>
  <c r="AJ63" i="12" s="1"/>
  <c r="J5" i="12"/>
  <c r="D63" i="12"/>
  <c r="J11" i="12"/>
  <c r="J6" i="12"/>
  <c r="R13" i="12"/>
  <c r="R11" i="12"/>
  <c r="R10" i="12"/>
  <c r="R9" i="12"/>
  <c r="R8" i="12"/>
  <c r="R14" i="12"/>
  <c r="R7" i="12"/>
  <c r="R6" i="12"/>
  <c r="P63" i="12"/>
  <c r="N63" i="12"/>
  <c r="L63" i="12"/>
  <c r="H63" i="12"/>
  <c r="F63" i="12"/>
  <c r="AB5" i="12"/>
  <c r="AB63" i="12" s="1"/>
  <c r="AD20" i="12"/>
  <c r="AD21" i="12" s="1"/>
  <c r="V20" i="12"/>
  <c r="V21" i="12" s="1"/>
  <c r="AD63" i="12"/>
  <c r="V63" i="12"/>
  <c r="F63" i="20"/>
  <c r="H63" i="20"/>
  <c r="I63" i="20"/>
  <c r="J5" i="20"/>
  <c r="L63" i="20"/>
  <c r="N63" i="20"/>
  <c r="P63" i="20"/>
  <c r="Q63" i="20"/>
  <c r="R5" i="20"/>
  <c r="S5" i="20"/>
  <c r="V63" i="20"/>
  <c r="X63" i="20"/>
  <c r="Z63" i="20"/>
  <c r="AA63" i="20"/>
  <c r="AB5" i="20"/>
  <c r="AD63" i="20"/>
  <c r="AF63" i="20"/>
  <c r="AH63" i="20"/>
  <c r="AI63" i="20"/>
  <c r="AI21" i="20"/>
  <c r="AJ5" i="20"/>
  <c r="AK5" i="20"/>
  <c r="J6" i="20"/>
  <c r="R6" i="20"/>
  <c r="S6" i="20"/>
  <c r="AB6" i="20"/>
  <c r="AJ6" i="20"/>
  <c r="AK6" i="20"/>
  <c r="J11" i="20"/>
  <c r="R11" i="20"/>
  <c r="S11" i="20"/>
  <c r="AB11" i="20"/>
  <c r="AJ11" i="20"/>
  <c r="AK11" i="20"/>
  <c r="AK23" i="20"/>
  <c r="AL23" i="20"/>
  <c r="F63" i="19"/>
  <c r="H63" i="19"/>
  <c r="I21" i="19"/>
  <c r="J5" i="19"/>
  <c r="L63" i="19"/>
  <c r="N63" i="19"/>
  <c r="P63" i="19"/>
  <c r="Q63" i="19"/>
  <c r="Q21" i="19"/>
  <c r="R5" i="19"/>
  <c r="S5" i="19"/>
  <c r="V63" i="19"/>
  <c r="X63" i="19"/>
  <c r="Z63" i="19"/>
  <c r="AA63" i="19"/>
  <c r="AB5" i="19"/>
  <c r="AD63" i="19"/>
  <c r="AF63" i="19"/>
  <c r="AH63" i="19"/>
  <c r="AI63" i="19"/>
  <c r="AJ5" i="19"/>
  <c r="AK5" i="19"/>
  <c r="J6" i="19"/>
  <c r="R6" i="19"/>
  <c r="S6" i="19"/>
  <c r="AB6" i="19"/>
  <c r="AJ6" i="19"/>
  <c r="AK6" i="19"/>
  <c r="J11" i="19"/>
  <c r="R11" i="19"/>
  <c r="S11" i="19"/>
  <c r="AB11" i="19"/>
  <c r="AJ11" i="19"/>
  <c r="AK11" i="19"/>
  <c r="AK23" i="19"/>
  <c r="AL23" i="19"/>
  <c r="AK33" i="19"/>
  <c r="AK58" i="19" s="1"/>
  <c r="AL33" i="19"/>
  <c r="D63" i="18"/>
  <c r="F63" i="18"/>
  <c r="H63" i="18"/>
  <c r="I63" i="18"/>
  <c r="I21" i="18"/>
  <c r="J5" i="18"/>
  <c r="L63" i="18"/>
  <c r="N63" i="18"/>
  <c r="P63" i="18"/>
  <c r="Q63" i="18"/>
  <c r="R5" i="18"/>
  <c r="S5" i="18"/>
  <c r="V63" i="18"/>
  <c r="X63" i="18"/>
  <c r="Z63" i="18"/>
  <c r="AA63" i="18"/>
  <c r="AA21" i="18"/>
  <c r="AB5" i="18"/>
  <c r="AD63" i="18"/>
  <c r="AF63" i="18"/>
  <c r="AH63" i="18"/>
  <c r="AI63" i="18"/>
  <c r="AJ5" i="18"/>
  <c r="AK5" i="18"/>
  <c r="J6" i="18"/>
  <c r="R6" i="18"/>
  <c r="S6" i="18"/>
  <c r="AB6" i="18"/>
  <c r="AJ6" i="18"/>
  <c r="AK6" i="18"/>
  <c r="J11" i="18"/>
  <c r="R11" i="18"/>
  <c r="S11" i="18"/>
  <c r="AB11" i="18"/>
  <c r="AJ11" i="18"/>
  <c r="AK11" i="18"/>
  <c r="S23" i="18"/>
  <c r="T23" i="18"/>
  <c r="AK23" i="18"/>
  <c r="AL23" i="18"/>
  <c r="AK33" i="18"/>
  <c r="AL33" i="18"/>
  <c r="Q21" i="12"/>
  <c r="I20" i="12"/>
  <c r="I21" i="12" s="1"/>
  <c r="I22" i="12" s="1"/>
  <c r="AJ59" i="19" l="1"/>
  <c r="AJ59" i="18"/>
  <c r="AH60" i="18"/>
  <c r="AL13" i="18"/>
  <c r="AL64" i="24"/>
  <c r="AL61" i="24"/>
  <c r="X60" i="18"/>
  <c r="T64" i="24"/>
  <c r="T61" i="24"/>
  <c r="P60" i="20"/>
  <c r="AC61" i="18"/>
  <c r="U61" i="18"/>
  <c r="Q59" i="18"/>
  <c r="O61" i="12"/>
  <c r="AI59" i="20"/>
  <c r="AI59" i="12"/>
  <c r="AL12" i="20"/>
  <c r="AL13" i="20"/>
  <c r="AL6" i="19"/>
  <c r="AL12" i="19"/>
  <c r="AL13" i="19"/>
  <c r="T6" i="19"/>
  <c r="C60" i="19"/>
  <c r="AM59" i="19"/>
  <c r="C60" i="20"/>
  <c r="AM60" i="20" s="1"/>
  <c r="AM59" i="20"/>
  <c r="AF60" i="18"/>
  <c r="AF64" i="18" s="1"/>
  <c r="AF65" i="18" s="1"/>
  <c r="AM10" i="18"/>
  <c r="AM63" i="12"/>
  <c r="AH60" i="19"/>
  <c r="AH60" i="20"/>
  <c r="AH64" i="20" s="1"/>
  <c r="AH65" i="20" s="1"/>
  <c r="AJ59" i="20"/>
  <c r="AF60" i="19"/>
  <c r="AF64" i="19" s="1"/>
  <c r="AF65" i="19" s="1"/>
  <c r="AL8" i="18"/>
  <c r="AB58" i="23"/>
  <c r="AB59" i="23" s="1"/>
  <c r="AL57" i="23"/>
  <c r="AL58" i="23" s="1"/>
  <c r="AL59" i="23" s="1"/>
  <c r="X60" i="19"/>
  <c r="X61" i="19" s="1"/>
  <c r="AL12" i="18"/>
  <c r="AL9" i="18"/>
  <c r="N60" i="19"/>
  <c r="N61" i="19" s="1"/>
  <c r="AL7" i="18"/>
  <c r="AL14" i="18"/>
  <c r="AL10" i="18"/>
  <c r="R58" i="23"/>
  <c r="R59" i="23" s="1"/>
  <c r="T57" i="23"/>
  <c r="L59" i="23"/>
  <c r="H60" i="18"/>
  <c r="F60" i="20"/>
  <c r="F61" i="20" s="1"/>
  <c r="AG64" i="18"/>
  <c r="AG65" i="18" s="1"/>
  <c r="AG61" i="18"/>
  <c r="AM59" i="23"/>
  <c r="AM61" i="23" s="1"/>
  <c r="AM14" i="18"/>
  <c r="AM9" i="18"/>
  <c r="AA58" i="23"/>
  <c r="AA59" i="23" s="1"/>
  <c r="AA61" i="23" s="1"/>
  <c r="AA62" i="23" s="1"/>
  <c r="AK57" i="23"/>
  <c r="AK58" i="23" s="1"/>
  <c r="AK59" i="23" s="1"/>
  <c r="AK61" i="23" s="1"/>
  <c r="AK62" i="23" s="1"/>
  <c r="M61" i="18"/>
  <c r="Q59" i="20"/>
  <c r="Q60" i="20" s="1"/>
  <c r="Q64" i="20" s="1"/>
  <c r="Q65" i="20" s="1"/>
  <c r="M61" i="19"/>
  <c r="U64" i="12"/>
  <c r="U65" i="12" s="1"/>
  <c r="U61" i="12"/>
  <c r="M61" i="12"/>
  <c r="M64" i="12"/>
  <c r="M65" i="12" s="1"/>
  <c r="I59" i="12"/>
  <c r="I60" i="12" s="1"/>
  <c r="I64" i="12" s="1"/>
  <c r="I65" i="12" s="1"/>
  <c r="AI60" i="20"/>
  <c r="AI64" i="20" s="1"/>
  <c r="AI65" i="20" s="1"/>
  <c r="R59" i="20"/>
  <c r="X60" i="20"/>
  <c r="X61" i="20" s="1"/>
  <c r="H60" i="19"/>
  <c r="H61" i="19" s="1"/>
  <c r="T8" i="12"/>
  <c r="J59" i="19"/>
  <c r="C61" i="23"/>
  <c r="C62" i="23" s="1"/>
  <c r="Q60" i="19"/>
  <c r="Q64" i="19" s="1"/>
  <c r="Q65" i="19" s="1"/>
  <c r="K61" i="19"/>
  <c r="R59" i="19"/>
  <c r="F60" i="19"/>
  <c r="F64" i="19" s="1"/>
  <c r="F65" i="19" s="1"/>
  <c r="AN60" i="24"/>
  <c r="K61" i="20"/>
  <c r="AA59" i="19"/>
  <c r="AA60" i="19" s="1"/>
  <c r="AA64" i="19" s="1"/>
  <c r="AA65" i="19" s="1"/>
  <c r="K61" i="12"/>
  <c r="AL8" i="19"/>
  <c r="AL8" i="20"/>
  <c r="AM19" i="18"/>
  <c r="AM17" i="18"/>
  <c r="AM15" i="18"/>
  <c r="AL7" i="12"/>
  <c r="I60" i="19"/>
  <c r="I64" i="19" s="1"/>
  <c r="I65" i="19" s="1"/>
  <c r="AK32" i="20"/>
  <c r="AA60" i="20"/>
  <c r="AA61" i="20" s="1"/>
  <c r="AI59" i="19"/>
  <c r="AI60" i="19" s="1"/>
  <c r="AI61" i="19" s="1"/>
  <c r="AL8" i="12"/>
  <c r="E64" i="19"/>
  <c r="E65" i="19" s="1"/>
  <c r="E61" i="19"/>
  <c r="J59" i="20"/>
  <c r="T10" i="12"/>
  <c r="T7" i="12"/>
  <c r="E64" i="18"/>
  <c r="E65" i="18" s="1"/>
  <c r="E61" i="18"/>
  <c r="C64" i="18"/>
  <c r="C65" i="18" s="1"/>
  <c r="C61" i="18"/>
  <c r="C61" i="20"/>
  <c r="I58" i="23"/>
  <c r="I59" i="23" s="1"/>
  <c r="I61" i="23" s="1"/>
  <c r="I62" i="23" s="1"/>
  <c r="S57" i="23"/>
  <c r="G61" i="18"/>
  <c r="E61" i="12"/>
  <c r="C61" i="12"/>
  <c r="H60" i="20"/>
  <c r="H64" i="20" s="1"/>
  <c r="H65" i="20" s="1"/>
  <c r="AF60" i="20"/>
  <c r="AF64" i="20" s="1"/>
  <c r="AF65" i="20" s="1"/>
  <c r="AK32" i="19"/>
  <c r="AK59" i="19" s="1"/>
  <c r="AC64" i="19"/>
  <c r="AC65" i="19" s="1"/>
  <c r="AC61" i="19"/>
  <c r="W64" i="19"/>
  <c r="W65" i="19" s="1"/>
  <c r="W61" i="19"/>
  <c r="O61" i="19"/>
  <c r="AI60" i="18"/>
  <c r="AI64" i="18" s="1"/>
  <c r="AI65" i="18" s="1"/>
  <c r="Q60" i="18"/>
  <c r="Q64" i="18" s="1"/>
  <c r="Q65" i="18" s="1"/>
  <c r="AL32" i="18"/>
  <c r="F60" i="18"/>
  <c r="F64" i="18" s="1"/>
  <c r="F65" i="18" s="1"/>
  <c r="AM13" i="18"/>
  <c r="AM8" i="18"/>
  <c r="AM12" i="18"/>
  <c r="AM7" i="18"/>
  <c r="AK58" i="12"/>
  <c r="R59" i="12"/>
  <c r="T58" i="12"/>
  <c r="T59" i="12" s="1"/>
  <c r="AG64" i="12"/>
  <c r="AG65" i="12" s="1"/>
  <c r="AG61" i="12"/>
  <c r="AE64" i="12"/>
  <c r="AE65" i="12" s="1"/>
  <c r="AE61" i="12"/>
  <c r="W61" i="12"/>
  <c r="S58" i="12"/>
  <c r="S32" i="12"/>
  <c r="AL7" i="19"/>
  <c r="T13" i="12"/>
  <c r="AL10" i="12"/>
  <c r="AL14" i="12"/>
  <c r="N60" i="20"/>
  <c r="N64" i="20" s="1"/>
  <c r="N65" i="20" s="1"/>
  <c r="M64" i="20"/>
  <c r="M65" i="20" s="1"/>
  <c r="M61" i="20"/>
  <c r="Y64" i="20"/>
  <c r="Y65" i="20" s="1"/>
  <c r="Y61" i="20"/>
  <c r="Z60" i="20"/>
  <c r="Z64" i="20" s="1"/>
  <c r="Z65" i="20" s="1"/>
  <c r="AK58" i="20"/>
  <c r="AN62" i="23"/>
  <c r="E61" i="20"/>
  <c r="W61" i="20"/>
  <c r="T6" i="23"/>
  <c r="AL7" i="20"/>
  <c r="AL10" i="20"/>
  <c r="AL9" i="20"/>
  <c r="AL14" i="19"/>
  <c r="AL10" i="19"/>
  <c r="AL7" i="23"/>
  <c r="AL10" i="23"/>
  <c r="AJ59" i="12"/>
  <c r="AL9" i="12"/>
  <c r="AL11" i="12"/>
  <c r="AB59" i="19"/>
  <c r="AB5" i="23"/>
  <c r="AB59" i="12"/>
  <c r="AL32" i="20"/>
  <c r="AC61" i="20"/>
  <c r="I60" i="20"/>
  <c r="I61" i="20" s="1"/>
  <c r="O61" i="20"/>
  <c r="AG61" i="20"/>
  <c r="U61" i="20"/>
  <c r="AE61" i="19"/>
  <c r="G61" i="19"/>
  <c r="U61" i="19"/>
  <c r="AL58" i="20"/>
  <c r="AL58" i="19"/>
  <c r="AL32" i="19"/>
  <c r="AL14" i="20"/>
  <c r="AL9" i="19"/>
  <c r="AL6" i="12"/>
  <c r="AI60" i="12"/>
  <c r="AI22" i="12"/>
  <c r="AL32" i="12"/>
  <c r="AL6" i="23"/>
  <c r="AL9" i="23"/>
  <c r="Y61" i="12"/>
  <c r="G61" i="20"/>
  <c r="AE61" i="20"/>
  <c r="AM18" i="18"/>
  <c r="AM16" i="18"/>
  <c r="AL58" i="18"/>
  <c r="AL59" i="18" s="1"/>
  <c r="AA60" i="18"/>
  <c r="AA64" i="18" s="1"/>
  <c r="AA65" i="18" s="1"/>
  <c r="AK32" i="12"/>
  <c r="AL8" i="23"/>
  <c r="G61" i="12"/>
  <c r="AC61" i="12"/>
  <c r="D20" i="23"/>
  <c r="D21" i="23" s="1"/>
  <c r="D62" i="23" s="1"/>
  <c r="Q59" i="12"/>
  <c r="Q60" i="12" s="1"/>
  <c r="Q22" i="12"/>
  <c r="AA60" i="12"/>
  <c r="AK58" i="18"/>
  <c r="AK32" i="18"/>
  <c r="T14" i="12"/>
  <c r="T9" i="12"/>
  <c r="AL58" i="12"/>
  <c r="AL14" i="23"/>
  <c r="T5" i="23"/>
  <c r="I60" i="18"/>
  <c r="I64" i="18" s="1"/>
  <c r="I65" i="18" s="1"/>
  <c r="AJ5" i="23"/>
  <c r="L20" i="18"/>
  <c r="L21" i="18" s="1"/>
  <c r="L60" i="18" s="1"/>
  <c r="L64" i="18" s="1"/>
  <c r="L65" i="18" s="1"/>
  <c r="AI22" i="20"/>
  <c r="AA22" i="20"/>
  <c r="Q22" i="20"/>
  <c r="AI22" i="19"/>
  <c r="AA22" i="19"/>
  <c r="Q22" i="19"/>
  <c r="AI22" i="18"/>
  <c r="AI61" i="18"/>
  <c r="AA22" i="18"/>
  <c r="Q22" i="18"/>
  <c r="P20" i="12"/>
  <c r="P21" i="12" s="1"/>
  <c r="P60" i="12" s="1"/>
  <c r="N21" i="12"/>
  <c r="N60" i="12" s="1"/>
  <c r="H20" i="12"/>
  <c r="H21" i="12" s="1"/>
  <c r="H22" i="12" s="1"/>
  <c r="H20" i="23"/>
  <c r="H21" i="23" s="1"/>
  <c r="F21" i="12"/>
  <c r="F60" i="12" s="1"/>
  <c r="F20" i="23"/>
  <c r="F21" i="23" s="1"/>
  <c r="AB12" i="12"/>
  <c r="AB13" i="12"/>
  <c r="AB13" i="23"/>
  <c r="X20" i="12"/>
  <c r="X21" i="12" s="1"/>
  <c r="X60" i="12" s="1"/>
  <c r="Z20" i="23"/>
  <c r="Z21" i="23" s="1"/>
  <c r="AJ12" i="12"/>
  <c r="AJ13" i="12"/>
  <c r="AJ13" i="23"/>
  <c r="AH20" i="12"/>
  <c r="AH21" i="12" s="1"/>
  <c r="AH60" i="12" s="1"/>
  <c r="AH20" i="23"/>
  <c r="AH21" i="23" s="1"/>
  <c r="AF20" i="12"/>
  <c r="AF21" i="12" s="1"/>
  <c r="AF60" i="12" s="1"/>
  <c r="AF20" i="23"/>
  <c r="AF21" i="23" s="1"/>
  <c r="AF62" i="23" s="1"/>
  <c r="AK20" i="12"/>
  <c r="AK21" i="12" s="1"/>
  <c r="AL11" i="23"/>
  <c r="R13" i="23"/>
  <c r="T13" i="23" s="1"/>
  <c r="T7" i="23"/>
  <c r="T14" i="23"/>
  <c r="T8" i="23"/>
  <c r="T9" i="23"/>
  <c r="T10" i="23"/>
  <c r="T11" i="23"/>
  <c r="I22" i="20"/>
  <c r="I22" i="19"/>
  <c r="I22" i="18"/>
  <c r="AM22" i="23"/>
  <c r="P64" i="20"/>
  <c r="P65" i="20" s="1"/>
  <c r="J12" i="20"/>
  <c r="T12" i="20" s="1"/>
  <c r="L20" i="20"/>
  <c r="L21" i="20" s="1"/>
  <c r="L60" i="20" s="1"/>
  <c r="L64" i="20" s="1"/>
  <c r="L65" i="20" s="1"/>
  <c r="V20" i="20"/>
  <c r="V21" i="20" s="1"/>
  <c r="V60" i="20" s="1"/>
  <c r="V64" i="20" s="1"/>
  <c r="V65" i="20" s="1"/>
  <c r="AD20" i="20"/>
  <c r="AD21" i="20" s="1"/>
  <c r="AD60" i="20" s="1"/>
  <c r="AD64" i="20" s="1"/>
  <c r="AD65" i="20" s="1"/>
  <c r="D20" i="20"/>
  <c r="D21" i="20" s="1"/>
  <c r="D60" i="20" s="1"/>
  <c r="D64" i="20" s="1"/>
  <c r="D65" i="20" s="1"/>
  <c r="P64" i="19"/>
  <c r="P65" i="19" s="1"/>
  <c r="Z64" i="19"/>
  <c r="Z65" i="19" s="1"/>
  <c r="AH64" i="19"/>
  <c r="AH65" i="19" s="1"/>
  <c r="J12" i="19"/>
  <c r="J20" i="19" s="1"/>
  <c r="J21" i="19" s="1"/>
  <c r="L20" i="19"/>
  <c r="L21" i="19" s="1"/>
  <c r="L60" i="19" s="1"/>
  <c r="L64" i="19" s="1"/>
  <c r="L65" i="19" s="1"/>
  <c r="V20" i="19"/>
  <c r="V21" i="19" s="1"/>
  <c r="V60" i="19" s="1"/>
  <c r="V64" i="19" s="1"/>
  <c r="V65" i="19" s="1"/>
  <c r="AD20" i="19"/>
  <c r="AD21" i="19" s="1"/>
  <c r="AD60" i="19" s="1"/>
  <c r="AD64" i="19" s="1"/>
  <c r="AD65" i="19" s="1"/>
  <c r="D20" i="19"/>
  <c r="D21" i="19" s="1"/>
  <c r="D22" i="19" s="1"/>
  <c r="N64" i="18"/>
  <c r="N65" i="18" s="1"/>
  <c r="P64" i="18"/>
  <c r="P65" i="18" s="1"/>
  <c r="X64" i="18"/>
  <c r="X65" i="18" s="1"/>
  <c r="Z64" i="18"/>
  <c r="Z65" i="18" s="1"/>
  <c r="AH64" i="18"/>
  <c r="AH65" i="18" s="1"/>
  <c r="J12" i="18"/>
  <c r="T12" i="18" s="1"/>
  <c r="V20" i="18"/>
  <c r="V21" i="18" s="1"/>
  <c r="V60" i="18" s="1"/>
  <c r="V64" i="18" s="1"/>
  <c r="V65" i="18" s="1"/>
  <c r="AD20" i="18"/>
  <c r="AD21" i="18" s="1"/>
  <c r="AD60" i="18" s="1"/>
  <c r="AD64" i="18" s="1"/>
  <c r="AD65" i="18" s="1"/>
  <c r="D20" i="18"/>
  <c r="D21" i="18" s="1"/>
  <c r="D60" i="18" s="1"/>
  <c r="D64" i="18" s="1"/>
  <c r="D65" i="18" s="1"/>
  <c r="V60" i="12"/>
  <c r="V22" i="12"/>
  <c r="AD60" i="12"/>
  <c r="AD64" i="12" s="1"/>
  <c r="AD22" i="12"/>
  <c r="Z60" i="12"/>
  <c r="Z22" i="12"/>
  <c r="R12" i="12"/>
  <c r="R20" i="12" s="1"/>
  <c r="R21" i="12" s="1"/>
  <c r="J12" i="12"/>
  <c r="J20" i="12" s="1"/>
  <c r="J21" i="12" s="1"/>
  <c r="J60" i="12" s="1"/>
  <c r="J61" i="12" s="1"/>
  <c r="R63" i="12"/>
  <c r="AL5" i="12"/>
  <c r="L21" i="12"/>
  <c r="T6" i="12"/>
  <c r="T11" i="12"/>
  <c r="J63" i="12"/>
  <c r="T5" i="12"/>
  <c r="T58" i="20"/>
  <c r="S58" i="20"/>
  <c r="T32" i="20"/>
  <c r="S32" i="20"/>
  <c r="AL11" i="20"/>
  <c r="T11" i="20"/>
  <c r="AK20" i="20"/>
  <c r="AK21" i="20" s="1"/>
  <c r="AJ20" i="20"/>
  <c r="AJ21" i="20" s="1"/>
  <c r="AB20" i="20"/>
  <c r="AB21" i="20" s="1"/>
  <c r="AB60" i="20" s="1"/>
  <c r="AL6" i="20"/>
  <c r="S20" i="20"/>
  <c r="S21" i="20" s="1"/>
  <c r="R20" i="20"/>
  <c r="R21" i="20" s="1"/>
  <c r="T6" i="20"/>
  <c r="AK63" i="20"/>
  <c r="AJ63" i="20"/>
  <c r="AH22" i="20"/>
  <c r="AF22" i="20"/>
  <c r="AB63" i="20"/>
  <c r="AL5" i="20"/>
  <c r="Z22" i="20"/>
  <c r="X22" i="20"/>
  <c r="S63" i="20"/>
  <c r="R63" i="20"/>
  <c r="P22" i="20"/>
  <c r="P61" i="20"/>
  <c r="N22" i="20"/>
  <c r="J63" i="20"/>
  <c r="T5" i="20"/>
  <c r="F22" i="20"/>
  <c r="T58" i="19"/>
  <c r="S58" i="19"/>
  <c r="T32" i="19"/>
  <c r="S32" i="19"/>
  <c r="AL11" i="19"/>
  <c r="T11" i="19"/>
  <c r="AK20" i="19"/>
  <c r="AK21" i="19" s="1"/>
  <c r="AJ20" i="19"/>
  <c r="AJ21" i="19" s="1"/>
  <c r="AJ60" i="19" s="1"/>
  <c r="AB20" i="19"/>
  <c r="AB21" i="19" s="1"/>
  <c r="S20" i="19"/>
  <c r="S21" i="19" s="1"/>
  <c r="R20" i="19"/>
  <c r="R21" i="19" s="1"/>
  <c r="AK63" i="19"/>
  <c r="AJ63" i="19"/>
  <c r="AH22" i="19"/>
  <c r="AH61" i="19"/>
  <c r="AF22" i="19"/>
  <c r="AB63" i="19"/>
  <c r="AL5" i="19"/>
  <c r="Z22" i="19"/>
  <c r="Z61" i="19"/>
  <c r="X22" i="19"/>
  <c r="S63" i="19"/>
  <c r="R63" i="19"/>
  <c r="P22" i="19"/>
  <c r="P61" i="19"/>
  <c r="N22" i="19"/>
  <c r="J63" i="19"/>
  <c r="T5" i="19"/>
  <c r="H22" i="19"/>
  <c r="F22" i="19"/>
  <c r="T58" i="18"/>
  <c r="S58" i="18"/>
  <c r="T32" i="18"/>
  <c r="S32" i="18"/>
  <c r="AL11" i="18"/>
  <c r="AM11" i="18"/>
  <c r="T11" i="18"/>
  <c r="AK20" i="18"/>
  <c r="AK21" i="18" s="1"/>
  <c r="AJ20" i="18"/>
  <c r="AJ21" i="18" s="1"/>
  <c r="AJ60" i="18" s="1"/>
  <c r="AB20" i="18"/>
  <c r="AB21" i="18" s="1"/>
  <c r="AB60" i="18" s="1"/>
  <c r="AL6" i="18"/>
  <c r="S20" i="18"/>
  <c r="S21" i="18" s="1"/>
  <c r="AM6" i="18"/>
  <c r="R20" i="18"/>
  <c r="R21" i="18" s="1"/>
  <c r="R60" i="18" s="1"/>
  <c r="T6" i="18"/>
  <c r="AK63" i="18"/>
  <c r="AJ63" i="18"/>
  <c r="AH22" i="18"/>
  <c r="AF22" i="18"/>
  <c r="AB63" i="18"/>
  <c r="AL5" i="18"/>
  <c r="Z22" i="18"/>
  <c r="Z61" i="18"/>
  <c r="X22" i="18"/>
  <c r="X61" i="18"/>
  <c r="S63" i="18"/>
  <c r="AM5" i="18"/>
  <c r="R63" i="18"/>
  <c r="P22" i="18"/>
  <c r="P61" i="18"/>
  <c r="N22" i="18"/>
  <c r="N61" i="18"/>
  <c r="J63" i="18"/>
  <c r="T5" i="18"/>
  <c r="H22" i="18"/>
  <c r="H61" i="18"/>
  <c r="F22" i="18"/>
  <c r="S20" i="12"/>
  <c r="S21" i="12" s="1"/>
  <c r="S22" i="12" s="1"/>
  <c r="S63" i="12"/>
  <c r="C65" i="12"/>
  <c r="AF61" i="18" l="1"/>
  <c r="AD61" i="18"/>
  <c r="AD22" i="18"/>
  <c r="X64" i="19"/>
  <c r="X65" i="19" s="1"/>
  <c r="V61" i="18"/>
  <c r="V22" i="18"/>
  <c r="AN64" i="24"/>
  <c r="AN61" i="24"/>
  <c r="P22" i="12"/>
  <c r="L61" i="18"/>
  <c r="L22" i="18"/>
  <c r="H64" i="18"/>
  <c r="H65" i="18" s="1"/>
  <c r="F61" i="18"/>
  <c r="AA61" i="18"/>
  <c r="C64" i="20"/>
  <c r="AF61" i="19"/>
  <c r="AJ60" i="20"/>
  <c r="AJ61" i="20" s="1"/>
  <c r="Z61" i="20"/>
  <c r="F64" i="20"/>
  <c r="F65" i="20" s="1"/>
  <c r="C65" i="20"/>
  <c r="AM64" i="20"/>
  <c r="C64" i="19"/>
  <c r="AM60" i="19"/>
  <c r="C61" i="19"/>
  <c r="AH61" i="20"/>
  <c r="H60" i="12"/>
  <c r="H64" i="12" s="1"/>
  <c r="H65" i="12" s="1"/>
  <c r="J20" i="18"/>
  <c r="J21" i="18" s="1"/>
  <c r="J60" i="18" s="1"/>
  <c r="J61" i="18" s="1"/>
  <c r="X22" i="12"/>
  <c r="N64" i="19"/>
  <c r="N65" i="19" s="1"/>
  <c r="T58" i="23"/>
  <c r="T59" i="23" s="1"/>
  <c r="R60" i="20"/>
  <c r="R61" i="20" s="1"/>
  <c r="L22" i="19"/>
  <c r="F61" i="19"/>
  <c r="F22" i="12"/>
  <c r="AK59" i="18"/>
  <c r="AK60" i="18" s="1"/>
  <c r="AK64" i="18" s="1"/>
  <c r="AK65" i="18" s="1"/>
  <c r="Q61" i="18"/>
  <c r="I61" i="18"/>
  <c r="AI61" i="20"/>
  <c r="Q61" i="19"/>
  <c r="X64" i="20"/>
  <c r="X65" i="20" s="1"/>
  <c r="AF61" i="20"/>
  <c r="N22" i="12"/>
  <c r="N61" i="20"/>
  <c r="L22" i="20"/>
  <c r="R60" i="19"/>
  <c r="R64" i="19" s="1"/>
  <c r="R65" i="19" s="1"/>
  <c r="H64" i="19"/>
  <c r="H65" i="19" s="1"/>
  <c r="H61" i="20"/>
  <c r="J20" i="20"/>
  <c r="J21" i="20" s="1"/>
  <c r="J22" i="20" s="1"/>
  <c r="AK59" i="20"/>
  <c r="AK60" i="20" s="1"/>
  <c r="AK64" i="20" s="1"/>
  <c r="AK65" i="20" s="1"/>
  <c r="AA64" i="20"/>
  <c r="AA65" i="20" s="1"/>
  <c r="Q61" i="20"/>
  <c r="AI64" i="19"/>
  <c r="AI65" i="19" s="1"/>
  <c r="AK59" i="12"/>
  <c r="AK60" i="12" s="1"/>
  <c r="AM32" i="12"/>
  <c r="I61" i="19"/>
  <c r="S59" i="12"/>
  <c r="S60" i="12" s="1"/>
  <c r="S64" i="12" s="1"/>
  <c r="S65" i="12" s="1"/>
  <c r="AL20" i="18"/>
  <c r="AL21" i="18" s="1"/>
  <c r="AL60" i="18" s="1"/>
  <c r="R64" i="18"/>
  <c r="R65" i="18" s="1"/>
  <c r="S59" i="18"/>
  <c r="S60" i="18" s="1"/>
  <c r="AM62" i="23"/>
  <c r="S58" i="23"/>
  <c r="S59" i="23" s="1"/>
  <c r="S61" i="23" s="1"/>
  <c r="S62" i="23" s="1"/>
  <c r="I61" i="12"/>
  <c r="D61" i="18"/>
  <c r="D22" i="18"/>
  <c r="I64" i="20"/>
  <c r="I65" i="20" s="1"/>
  <c r="AA61" i="19"/>
  <c r="AJ64" i="18"/>
  <c r="AJ65" i="18" s="1"/>
  <c r="AB64" i="18"/>
  <c r="AB65" i="18" s="1"/>
  <c r="AM58" i="18"/>
  <c r="AM20" i="18"/>
  <c r="AM21" i="18" s="1"/>
  <c r="AM32" i="18"/>
  <c r="L61" i="20"/>
  <c r="D61" i="20"/>
  <c r="V20" i="23"/>
  <c r="V21" i="23" s="1"/>
  <c r="D22" i="20"/>
  <c r="AH22" i="12"/>
  <c r="AF22" i="12"/>
  <c r="AD61" i="20"/>
  <c r="AD22" i="20"/>
  <c r="AJ64" i="19"/>
  <c r="AJ65" i="19" s="1"/>
  <c r="AD61" i="19"/>
  <c r="AD22" i="19"/>
  <c r="AL5" i="23"/>
  <c r="AL62" i="23" s="1"/>
  <c r="AB60" i="19"/>
  <c r="AB64" i="19" s="1"/>
  <c r="AB65" i="19" s="1"/>
  <c r="AL59" i="19"/>
  <c r="AL59" i="12"/>
  <c r="AL20" i="19"/>
  <c r="AL21" i="19" s="1"/>
  <c r="AL59" i="20"/>
  <c r="AB64" i="20"/>
  <c r="AB65" i="20" s="1"/>
  <c r="AB20" i="12"/>
  <c r="AB21" i="12" s="1"/>
  <c r="AB22" i="12" s="1"/>
  <c r="S59" i="20"/>
  <c r="S60" i="20" s="1"/>
  <c r="AM32" i="20"/>
  <c r="S59" i="19"/>
  <c r="S60" i="19" s="1"/>
  <c r="L61" i="19"/>
  <c r="AK60" i="19"/>
  <c r="AK61" i="19" s="1"/>
  <c r="V22" i="20"/>
  <c r="V22" i="19"/>
  <c r="AL20" i="20"/>
  <c r="AL21" i="20" s="1"/>
  <c r="V61" i="20"/>
  <c r="V61" i="19"/>
  <c r="Q64" i="12"/>
  <c r="Q65" i="12" s="1"/>
  <c r="Q61" i="12"/>
  <c r="AA64" i="12"/>
  <c r="AA65" i="12" s="1"/>
  <c r="AA61" i="12"/>
  <c r="J22" i="12"/>
  <c r="J12" i="23"/>
  <c r="T59" i="18"/>
  <c r="T59" i="19"/>
  <c r="R12" i="23"/>
  <c r="R20" i="23" s="1"/>
  <c r="R21" i="23" s="1"/>
  <c r="R22" i="23" s="1"/>
  <c r="T59" i="20"/>
  <c r="T12" i="12"/>
  <c r="T20" i="12" s="1"/>
  <c r="T21" i="12" s="1"/>
  <c r="AI64" i="12"/>
  <c r="AI65" i="12" s="1"/>
  <c r="AI61" i="12"/>
  <c r="D60" i="19"/>
  <c r="J64" i="18"/>
  <c r="J65" i="18" s="1"/>
  <c r="J60" i="19"/>
  <c r="J64" i="19" s="1"/>
  <c r="J65" i="19" s="1"/>
  <c r="J64" i="12"/>
  <c r="J65" i="12" s="1"/>
  <c r="AF22" i="23"/>
  <c r="AH22" i="23"/>
  <c r="Z62" i="23"/>
  <c r="Z22" i="23"/>
  <c r="X22" i="23"/>
  <c r="X62" i="23"/>
  <c r="P22" i="23"/>
  <c r="N22" i="23"/>
  <c r="R62" i="23"/>
  <c r="H22" i="23"/>
  <c r="T12" i="19"/>
  <c r="AK22" i="20"/>
  <c r="AK22" i="19"/>
  <c r="AK22" i="18"/>
  <c r="AK22" i="12"/>
  <c r="F22" i="23"/>
  <c r="D22" i="23"/>
  <c r="L20" i="23"/>
  <c r="L21" i="23" s="1"/>
  <c r="AJ12" i="23"/>
  <c r="AJ20" i="23" s="1"/>
  <c r="AJ21" i="23" s="1"/>
  <c r="AD20" i="23"/>
  <c r="AD21" i="23" s="1"/>
  <c r="AJ20" i="12"/>
  <c r="AJ21" i="12" s="1"/>
  <c r="AL13" i="23"/>
  <c r="AL13" i="12"/>
  <c r="AB12" i="23"/>
  <c r="AL12" i="12"/>
  <c r="S22" i="20"/>
  <c r="S22" i="19"/>
  <c r="S22" i="18"/>
  <c r="R60" i="12"/>
  <c r="R22" i="12"/>
  <c r="T63" i="12"/>
  <c r="D22" i="12"/>
  <c r="L60" i="12"/>
  <c r="L22" i="12"/>
  <c r="AL63" i="12"/>
  <c r="AF61" i="12"/>
  <c r="AF64" i="12"/>
  <c r="AF65" i="12" s="1"/>
  <c r="AH64" i="12"/>
  <c r="AH65" i="12" s="1"/>
  <c r="AH61" i="12"/>
  <c r="Z61" i="12"/>
  <c r="Z64" i="12"/>
  <c r="Z65" i="12" s="1"/>
  <c r="X61" i="12"/>
  <c r="X64" i="12"/>
  <c r="X65" i="12" s="1"/>
  <c r="F64" i="12"/>
  <c r="F65" i="12" s="1"/>
  <c r="F61" i="12"/>
  <c r="AD65" i="12"/>
  <c r="AD61" i="12"/>
  <c r="V61" i="12"/>
  <c r="V64" i="12"/>
  <c r="V65" i="12" s="1"/>
  <c r="N61" i="12"/>
  <c r="N64" i="12"/>
  <c r="N65" i="12" s="1"/>
  <c r="P61" i="12"/>
  <c r="P64" i="12"/>
  <c r="P65" i="12" s="1"/>
  <c r="T63" i="20"/>
  <c r="R22" i="20"/>
  <c r="AL63" i="20"/>
  <c r="AB22" i="20"/>
  <c r="AB61" i="20"/>
  <c r="AJ22" i="20"/>
  <c r="T20" i="20"/>
  <c r="T21" i="20" s="1"/>
  <c r="T63" i="19"/>
  <c r="J22" i="19"/>
  <c r="R22" i="19"/>
  <c r="AL63" i="19"/>
  <c r="AB22" i="19"/>
  <c r="AJ22" i="19"/>
  <c r="AJ61" i="19"/>
  <c r="T63" i="18"/>
  <c r="R22" i="18"/>
  <c r="R61" i="18"/>
  <c r="AM63" i="18"/>
  <c r="AL63" i="18"/>
  <c r="AB22" i="18"/>
  <c r="AB61" i="18"/>
  <c r="AJ22" i="18"/>
  <c r="AJ61" i="18"/>
  <c r="T20" i="18"/>
  <c r="T21" i="18" s="1"/>
  <c r="AJ64" i="20" l="1"/>
  <c r="AJ65" i="20" s="1"/>
  <c r="J22" i="18"/>
  <c r="H61" i="12"/>
  <c r="C65" i="19"/>
  <c r="AM64" i="19"/>
  <c r="AM65" i="19" s="1"/>
  <c r="AL64" i="18"/>
  <c r="AL65" i="18" s="1"/>
  <c r="AB61" i="19"/>
  <c r="R64" i="20"/>
  <c r="R65" i="20" s="1"/>
  <c r="AK61" i="18"/>
  <c r="S64" i="18"/>
  <c r="S65" i="18" s="1"/>
  <c r="S61" i="18"/>
  <c r="R61" i="19"/>
  <c r="J60" i="20"/>
  <c r="AK61" i="20"/>
  <c r="AM59" i="18"/>
  <c r="AM60" i="18" s="1"/>
  <c r="AM64" i="18" s="1"/>
  <c r="AM65" i="18" s="1"/>
  <c r="J61" i="19"/>
  <c r="AK64" i="19"/>
  <c r="AK65" i="19" s="1"/>
  <c r="AB60" i="12"/>
  <c r="AB64" i="12" s="1"/>
  <c r="AB65" i="12" s="1"/>
  <c r="AL60" i="19"/>
  <c r="AL61" i="19" s="1"/>
  <c r="AL60" i="20"/>
  <c r="AL64" i="20" s="1"/>
  <c r="AL65" i="20" s="1"/>
  <c r="S64" i="20"/>
  <c r="S65" i="20" s="1"/>
  <c r="S61" i="20"/>
  <c r="S64" i="19"/>
  <c r="S65" i="19" s="1"/>
  <c r="S61" i="19"/>
  <c r="AL20" i="12"/>
  <c r="AL21" i="12" s="1"/>
  <c r="AL60" i="12" s="1"/>
  <c r="AL64" i="12" s="1"/>
  <c r="AL65" i="12" s="1"/>
  <c r="T20" i="19"/>
  <c r="T21" i="19" s="1"/>
  <c r="T60" i="19" s="1"/>
  <c r="T12" i="23"/>
  <c r="T20" i="23" s="1"/>
  <c r="T21" i="23" s="1"/>
  <c r="T22" i="23" s="1"/>
  <c r="J20" i="23"/>
  <c r="J21" i="23" s="1"/>
  <c r="J22" i="23" s="1"/>
  <c r="S61" i="12"/>
  <c r="D64" i="19"/>
  <c r="D65" i="19" s="1"/>
  <c r="D61" i="19"/>
  <c r="AB61" i="23"/>
  <c r="AJ60" i="12"/>
  <c r="AJ22" i="12"/>
  <c r="AD62" i="23"/>
  <c r="AD22" i="23"/>
  <c r="AJ61" i="23"/>
  <c r="AJ62" i="23" s="1"/>
  <c r="AJ22" i="23"/>
  <c r="V22" i="23"/>
  <c r="P62" i="23"/>
  <c r="N62" i="23"/>
  <c r="L22" i="23"/>
  <c r="H62" i="23"/>
  <c r="AK64" i="12"/>
  <c r="AK65" i="12" s="1"/>
  <c r="AK61" i="12"/>
  <c r="AL12" i="23"/>
  <c r="AB20" i="23"/>
  <c r="AB21" i="23" s="1"/>
  <c r="AM22" i="12"/>
  <c r="J62" i="23"/>
  <c r="AM22" i="19"/>
  <c r="AM22" i="18"/>
  <c r="T60" i="12"/>
  <c r="T64" i="12" s="1"/>
  <c r="T22" i="12"/>
  <c r="L61" i="12"/>
  <c r="L64" i="12"/>
  <c r="L65" i="12" s="1"/>
  <c r="D64" i="12"/>
  <c r="D65" i="12" s="1"/>
  <c r="D61" i="12"/>
  <c r="R64" i="12"/>
  <c r="R65" i="12" s="1"/>
  <c r="R61" i="12"/>
  <c r="T60" i="20"/>
  <c r="T22" i="20"/>
  <c r="AL22" i="20"/>
  <c r="AN64" i="20"/>
  <c r="AL22" i="19"/>
  <c r="T60" i="18"/>
  <c r="T22" i="18"/>
  <c r="AL22" i="18"/>
  <c r="AL61" i="18"/>
  <c r="J64" i="20" l="1"/>
  <c r="J65" i="20" s="1"/>
  <c r="J61" i="20"/>
  <c r="AM61" i="18"/>
  <c r="AM61" i="19"/>
  <c r="AM61" i="20"/>
  <c r="AM65" i="20"/>
  <c r="AB61" i="12"/>
  <c r="AL64" i="19"/>
  <c r="AL65" i="19" s="1"/>
  <c r="AN65" i="19"/>
  <c r="AL61" i="20"/>
  <c r="AL22" i="12"/>
  <c r="AL61" i="12"/>
  <c r="T22" i="19"/>
  <c r="AJ64" i="12"/>
  <c r="AJ65" i="12" s="1"/>
  <c r="AJ61" i="12"/>
  <c r="AB22" i="23"/>
  <c r="V62" i="23"/>
  <c r="L62" i="23"/>
  <c r="AN65" i="12"/>
  <c r="AN22" i="12"/>
  <c r="T62" i="23"/>
  <c r="AM64" i="12"/>
  <c r="AM65" i="12" s="1"/>
  <c r="AM61" i="12"/>
  <c r="AL20" i="23"/>
  <c r="AL21" i="23" s="1"/>
  <c r="T65" i="12"/>
  <c r="T61" i="12"/>
  <c r="AN22" i="20"/>
  <c r="T64" i="20"/>
  <c r="T65" i="20" s="1"/>
  <c r="T61" i="20"/>
  <c r="AN22" i="19"/>
  <c r="T64" i="19"/>
  <c r="T65" i="19" s="1"/>
  <c r="T61" i="19"/>
  <c r="AN22" i="18"/>
  <c r="T64" i="18"/>
  <c r="T65" i="18" s="1"/>
  <c r="T61" i="18"/>
  <c r="AN61" i="20" l="1"/>
  <c r="AN65" i="18"/>
  <c r="AN61" i="19"/>
  <c r="AN65" i="20"/>
  <c r="AN61" i="12"/>
  <c r="AL22" i="23"/>
  <c r="AB62" i="23"/>
  <c r="AN22" i="23"/>
</calcChain>
</file>

<file path=xl/sharedStrings.xml><?xml version="1.0" encoding="utf-8"?>
<sst xmlns="http://schemas.openxmlformats.org/spreadsheetml/2006/main" count="2674" uniqueCount="219">
  <si>
    <t>　　</t>
    <phoneticPr fontId="6"/>
  </si>
  <si>
    <t>2月</t>
    <rPh sb="1" eb="2">
      <t>ガツ</t>
    </rPh>
    <phoneticPr fontId="6"/>
  </si>
  <si>
    <t>3月</t>
  </si>
  <si>
    <t>4月</t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</si>
  <si>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6"/>
  </si>
  <si>
    <t>5月</t>
  </si>
  <si>
    <t>6月</t>
  </si>
  <si>
    <t>7月</t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</si>
  <si>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6"/>
  </si>
  <si>
    <t>上期計</t>
    <rPh sb="0" eb="2">
      <t>カミキ</t>
    </rPh>
    <rPh sb="2" eb="3">
      <t>ケイ</t>
    </rPh>
    <phoneticPr fontId="6"/>
  </si>
  <si>
    <t>8月</t>
    <phoneticPr fontId="6"/>
  </si>
  <si>
    <t>9月</t>
  </si>
  <si>
    <t>10月</t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</si>
  <si>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6"/>
  </si>
  <si>
    <t>11月</t>
  </si>
  <si>
    <t>12月</t>
  </si>
  <si>
    <t>1月</t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</si>
  <si>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6"/>
  </si>
  <si>
    <t>下期計</t>
    <rPh sb="0" eb="2">
      <t>シモキ</t>
    </rPh>
    <rPh sb="2" eb="3">
      <t>ケイ</t>
    </rPh>
    <phoneticPr fontId="6"/>
  </si>
  <si>
    <t>全期計</t>
    <rPh sb="0" eb="2">
      <t>ゼンキ</t>
    </rPh>
    <rPh sb="2" eb="3">
      <t>ケイ</t>
    </rPh>
    <phoneticPr fontId="6"/>
  </si>
  <si>
    <t>計画</t>
    <rPh sb="0" eb="2">
      <t>ケイカク</t>
    </rPh>
    <phoneticPr fontId="6"/>
  </si>
  <si>
    <t>売上金額</t>
    <rPh sb="0" eb="2">
      <t>ウリアゲ</t>
    </rPh>
    <rPh sb="2" eb="3">
      <t>キン</t>
    </rPh>
    <rPh sb="3" eb="4">
      <t>ガク</t>
    </rPh>
    <phoneticPr fontId="6"/>
  </si>
  <si>
    <t>健康保険</t>
    <rPh sb="0" eb="2">
      <t>ケンコウ</t>
    </rPh>
    <rPh sb="2" eb="4">
      <t>ホケン</t>
    </rPh>
    <phoneticPr fontId="6"/>
  </si>
  <si>
    <t>厚生年金</t>
    <rPh sb="0" eb="2">
      <t>コウセイ</t>
    </rPh>
    <rPh sb="2" eb="4">
      <t>ネンキン</t>
    </rPh>
    <phoneticPr fontId="6"/>
  </si>
  <si>
    <t>雇用保険</t>
    <rPh sb="0" eb="2">
      <t>コヨウ</t>
    </rPh>
    <rPh sb="2" eb="4">
      <t>ホケン</t>
    </rPh>
    <phoneticPr fontId="6"/>
  </si>
  <si>
    <t>労災保険</t>
    <rPh sb="0" eb="2">
      <t>ロウサイ</t>
    </rPh>
    <rPh sb="2" eb="4">
      <t>ホケン</t>
    </rPh>
    <phoneticPr fontId="6"/>
  </si>
  <si>
    <t>通勤費</t>
    <rPh sb="0" eb="2">
      <t>ツウキン</t>
    </rPh>
    <rPh sb="2" eb="3">
      <t>ヒ</t>
    </rPh>
    <phoneticPr fontId="6"/>
  </si>
  <si>
    <t>小計</t>
    <rPh sb="0" eb="2">
      <t>ショウケイ</t>
    </rPh>
    <phoneticPr fontId="6"/>
  </si>
  <si>
    <t>粗利益</t>
    <rPh sb="0" eb="3">
      <t>アラリエキ</t>
    </rPh>
    <phoneticPr fontId="6"/>
  </si>
  <si>
    <t>利益率</t>
    <rPh sb="0" eb="2">
      <t>リエキ</t>
    </rPh>
    <rPh sb="2" eb="3">
      <t>リツ</t>
    </rPh>
    <phoneticPr fontId="6"/>
  </si>
  <si>
    <t>正社員</t>
    <rPh sb="0" eb="3">
      <t>セイシャイン</t>
    </rPh>
    <phoneticPr fontId="6"/>
  </si>
  <si>
    <t>給与手当</t>
    <rPh sb="0" eb="2">
      <t>キュウヨ</t>
    </rPh>
    <rPh sb="2" eb="4">
      <t>テア</t>
    </rPh>
    <phoneticPr fontId="6"/>
  </si>
  <si>
    <t>退職金（解雇手当）</t>
    <rPh sb="0" eb="3">
      <t>タイショクキン</t>
    </rPh>
    <rPh sb="4" eb="6">
      <t>カイコ</t>
    </rPh>
    <rPh sb="6" eb="8">
      <t>テアテ</t>
    </rPh>
    <phoneticPr fontId="6"/>
  </si>
  <si>
    <t>賞与金</t>
    <rPh sb="0" eb="2">
      <t>ショウヨ</t>
    </rPh>
    <rPh sb="2" eb="3">
      <t>キン</t>
    </rPh>
    <phoneticPr fontId="6"/>
  </si>
  <si>
    <t>経費</t>
    <rPh sb="0" eb="2">
      <t>ケイヒ</t>
    </rPh>
    <phoneticPr fontId="6"/>
  </si>
  <si>
    <t>福利厚生費</t>
    <rPh sb="0" eb="2">
      <t>フクリ</t>
    </rPh>
    <rPh sb="2" eb="5">
      <t>コウセイヒ</t>
    </rPh>
    <phoneticPr fontId="6"/>
  </si>
  <si>
    <t>消耗品費</t>
    <rPh sb="0" eb="2">
      <t>ショウモウ</t>
    </rPh>
    <rPh sb="2" eb="3">
      <t>ヒン</t>
    </rPh>
    <rPh sb="3" eb="4">
      <t>ヒ</t>
    </rPh>
    <phoneticPr fontId="6"/>
  </si>
  <si>
    <t>地代家賃</t>
    <rPh sb="0" eb="2">
      <t>チダイ</t>
    </rPh>
    <rPh sb="2" eb="4">
      <t>ヤチン</t>
    </rPh>
    <phoneticPr fontId="6"/>
  </si>
  <si>
    <t>賃借料</t>
    <rPh sb="0" eb="3">
      <t>チンシャクリョウ</t>
    </rPh>
    <phoneticPr fontId="6"/>
  </si>
  <si>
    <t>保険料</t>
    <rPh sb="0" eb="3">
      <t>ホケンリョウ</t>
    </rPh>
    <phoneticPr fontId="6"/>
  </si>
  <si>
    <t>修繕費</t>
    <rPh sb="0" eb="2">
      <t>シュウゼン</t>
    </rPh>
    <rPh sb="2" eb="3">
      <t>ヒ</t>
    </rPh>
    <phoneticPr fontId="6"/>
  </si>
  <si>
    <t>車両費</t>
    <rPh sb="0" eb="2">
      <t>シャリョウ</t>
    </rPh>
    <rPh sb="2" eb="3">
      <t>ヒ</t>
    </rPh>
    <phoneticPr fontId="6"/>
  </si>
  <si>
    <t>新聞図書費</t>
    <rPh sb="0" eb="2">
      <t>シンブン</t>
    </rPh>
    <rPh sb="2" eb="4">
      <t>トショ</t>
    </rPh>
    <rPh sb="4" eb="5">
      <t>ヒ</t>
    </rPh>
    <phoneticPr fontId="6"/>
  </si>
  <si>
    <t>会議費</t>
    <rPh sb="0" eb="3">
      <t>カイギヒ</t>
    </rPh>
    <phoneticPr fontId="6"/>
  </si>
  <si>
    <t>租税公課</t>
    <rPh sb="0" eb="2">
      <t>ソゼイ</t>
    </rPh>
    <rPh sb="2" eb="4">
      <t>コウカ</t>
    </rPh>
    <phoneticPr fontId="6"/>
  </si>
  <si>
    <t>旅費交通費</t>
    <rPh sb="0" eb="2">
      <t>リョヒ</t>
    </rPh>
    <rPh sb="2" eb="5">
      <t>コウツウヒ</t>
    </rPh>
    <phoneticPr fontId="6"/>
  </si>
  <si>
    <t>通信費</t>
    <rPh sb="0" eb="3">
      <t>ツウシンヒ</t>
    </rPh>
    <phoneticPr fontId="6"/>
  </si>
  <si>
    <t>水道光熱費</t>
    <rPh sb="0" eb="2">
      <t>スイドウ</t>
    </rPh>
    <rPh sb="2" eb="5">
      <t>コウネツヒ</t>
    </rPh>
    <phoneticPr fontId="6"/>
  </si>
  <si>
    <t>支払手数料</t>
    <rPh sb="0" eb="2">
      <t>シハライ</t>
    </rPh>
    <rPh sb="2" eb="4">
      <t>テスウ</t>
    </rPh>
    <rPh sb="4" eb="5">
      <t>リョウ</t>
    </rPh>
    <phoneticPr fontId="6"/>
  </si>
  <si>
    <t>研修費</t>
    <rPh sb="0" eb="3">
      <t>ケンシュウヒ</t>
    </rPh>
    <phoneticPr fontId="6"/>
  </si>
  <si>
    <t>運搬費</t>
    <rPh sb="0" eb="2">
      <t>ウンパン</t>
    </rPh>
    <rPh sb="2" eb="3">
      <t>ヒ</t>
    </rPh>
    <phoneticPr fontId="6"/>
  </si>
  <si>
    <t>広告宣伝費</t>
    <rPh sb="0" eb="2">
      <t>コウコク</t>
    </rPh>
    <rPh sb="2" eb="4">
      <t>センデン</t>
    </rPh>
    <rPh sb="4" eb="5">
      <t>ヒ</t>
    </rPh>
    <phoneticPr fontId="6"/>
  </si>
  <si>
    <t>接待交際費</t>
    <rPh sb="0" eb="2">
      <t>セッタイ</t>
    </rPh>
    <rPh sb="2" eb="5">
      <t>コウサイヒ</t>
    </rPh>
    <phoneticPr fontId="6"/>
  </si>
  <si>
    <t>不動産管理費</t>
    <rPh sb="0" eb="3">
      <t>フドウサン</t>
    </rPh>
    <rPh sb="3" eb="6">
      <t>カンリヒ</t>
    </rPh>
    <phoneticPr fontId="6"/>
  </si>
  <si>
    <t>諸会費</t>
    <rPh sb="0" eb="1">
      <t>ショ</t>
    </rPh>
    <rPh sb="1" eb="3">
      <t>カイヒ</t>
    </rPh>
    <phoneticPr fontId="6"/>
  </si>
  <si>
    <t>雑費</t>
    <rPh sb="0" eb="2">
      <t>ザッピ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</si>
  <si>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</si>
  <si>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管理費合計</t>
    <rPh sb="0" eb="3">
      <t>カンリヒ</t>
    </rPh>
    <rPh sb="3" eb="5">
      <t>ゴウケイ</t>
    </rPh>
    <phoneticPr fontId="6"/>
  </si>
  <si>
    <t>家賃収入</t>
    <rPh sb="0" eb="2">
      <t>ヤチン</t>
    </rPh>
    <rPh sb="2" eb="4">
      <t>シュウニュウ</t>
    </rPh>
    <phoneticPr fontId="6"/>
  </si>
  <si>
    <t>本社経費売上の４％</t>
    <rPh sb="0" eb="2">
      <t>ホンシャ</t>
    </rPh>
    <rPh sb="2" eb="4">
      <t>ケイヒ</t>
    </rPh>
    <rPh sb="4" eb="6">
      <t>ウリアゲ</t>
    </rPh>
    <phoneticPr fontId="6"/>
  </si>
  <si>
    <t>営業利益(本社経費控除後)</t>
    <rPh sb="0" eb="2">
      <t>エイギョウ</t>
    </rPh>
    <rPh sb="2" eb="4">
      <t>リエキ</t>
    </rPh>
    <rPh sb="5" eb="7">
      <t>ホンシャ</t>
    </rPh>
    <rPh sb="7" eb="9">
      <t>ケイヒ</t>
    </rPh>
    <rPh sb="9" eb="11">
      <t>コウジョ</t>
    </rPh>
    <rPh sb="11" eb="12">
      <t>ゴ</t>
    </rPh>
    <phoneticPr fontId="6"/>
  </si>
  <si>
    <t>利益率（本社経費控除後）</t>
    <rPh sb="0" eb="2">
      <t>リエキ</t>
    </rPh>
    <rPh sb="2" eb="3">
      <t>リツ</t>
    </rPh>
    <rPh sb="4" eb="6">
      <t>ホンシャ</t>
    </rPh>
    <rPh sb="6" eb="8">
      <t>ケイヒ</t>
    </rPh>
    <rPh sb="8" eb="10">
      <t>コウジョ</t>
    </rPh>
    <rPh sb="10" eb="11">
      <t>ゴ</t>
    </rPh>
    <phoneticPr fontId="6"/>
  </si>
  <si>
    <t>有給残</t>
    <rPh sb="0" eb="2">
      <t>ユウキュウ</t>
    </rPh>
    <rPh sb="2" eb="3">
      <t>ザン</t>
    </rPh>
    <phoneticPr fontId="6"/>
  </si>
  <si>
    <t>有給平均日数</t>
    <rPh sb="0" eb="2">
      <t>ユウキュウ</t>
    </rPh>
    <rPh sb="2" eb="4">
      <t>ヘイキン</t>
    </rPh>
    <rPh sb="4" eb="6">
      <t>ニッスウ</t>
    </rPh>
    <phoneticPr fontId="6"/>
  </si>
  <si>
    <t>基本給（雑給）</t>
    <rPh sb="0" eb="3">
      <t>キホンキュウ</t>
    </rPh>
    <rPh sb="4" eb="6">
      <t>ザッキュウ</t>
    </rPh>
    <phoneticPr fontId="3"/>
  </si>
  <si>
    <t>手当</t>
    <rPh sb="0" eb="2">
      <t>テアテ</t>
    </rPh>
    <phoneticPr fontId="3"/>
  </si>
  <si>
    <t>割増手当</t>
    <rPh sb="0" eb="2">
      <t>ワリマシ</t>
    </rPh>
    <rPh sb="2" eb="4">
      <t>テアテ</t>
    </rPh>
    <phoneticPr fontId="6"/>
  </si>
  <si>
    <t>介護保険</t>
    <rPh sb="0" eb="2">
      <t>カイゴ</t>
    </rPh>
    <rPh sb="2" eb="4">
      <t>ホケン</t>
    </rPh>
    <phoneticPr fontId="6"/>
  </si>
  <si>
    <t>クリーニング代</t>
    <rPh sb="6" eb="7">
      <t>ダイ</t>
    </rPh>
    <phoneticPr fontId="3"/>
  </si>
  <si>
    <t>ユニフォーム・靴代</t>
    <rPh sb="7" eb="8">
      <t>クツ</t>
    </rPh>
    <rPh sb="8" eb="9">
      <t>ダイ</t>
    </rPh>
    <phoneticPr fontId="3"/>
  </si>
  <si>
    <t>配属者雑費</t>
    <rPh sb="0" eb="2">
      <t>ハイゾク</t>
    </rPh>
    <rPh sb="2" eb="3">
      <t>シャ</t>
    </rPh>
    <rPh sb="3" eb="5">
      <t>ザッピ</t>
    </rPh>
    <phoneticPr fontId="3"/>
  </si>
  <si>
    <t>配属者駐車場</t>
    <rPh sb="0" eb="2">
      <t>ハイゾク</t>
    </rPh>
    <rPh sb="2" eb="3">
      <t>シャ</t>
    </rPh>
    <rPh sb="3" eb="6">
      <t>チュウシャジョウ</t>
    </rPh>
    <phoneticPr fontId="3"/>
  </si>
  <si>
    <t>その他</t>
    <rPh sb="2" eb="3">
      <t>タ</t>
    </rPh>
    <phoneticPr fontId="6"/>
  </si>
  <si>
    <t>支払利息割引料</t>
    <rPh sb="0" eb="2">
      <t>シハライ</t>
    </rPh>
    <rPh sb="2" eb="4">
      <t>リソク</t>
    </rPh>
    <rPh sb="4" eb="7">
      <t>ワリビキリョウ</t>
    </rPh>
    <phoneticPr fontId="6"/>
  </si>
  <si>
    <t>雑損失</t>
    <rPh sb="0" eb="1">
      <t>ザツ</t>
    </rPh>
    <rPh sb="1" eb="3">
      <t>ソンシツ</t>
    </rPh>
    <phoneticPr fontId="3"/>
  </si>
  <si>
    <t>経常利益</t>
    <rPh sb="0" eb="2">
      <t>ケイジョウ</t>
    </rPh>
    <rPh sb="2" eb="4">
      <t>リエキ</t>
    </rPh>
    <phoneticPr fontId="6"/>
  </si>
  <si>
    <t>配属先</t>
    <rPh sb="0" eb="3">
      <t>ハイゾクサキ</t>
    </rPh>
    <phoneticPr fontId="3"/>
  </si>
  <si>
    <t>スタッフ</t>
    <phoneticPr fontId="3"/>
  </si>
  <si>
    <t>福利</t>
    <rPh sb="0" eb="2">
      <t>フクリ</t>
    </rPh>
    <phoneticPr fontId="3"/>
  </si>
  <si>
    <t>厚生費</t>
    <rPh sb="0" eb="3">
      <t>コウセイヒ</t>
    </rPh>
    <phoneticPr fontId="3"/>
  </si>
  <si>
    <t>人件費</t>
    <rPh sb="0" eb="3">
      <t>ジンケンヒ</t>
    </rPh>
    <phoneticPr fontId="3"/>
  </si>
  <si>
    <t>営業外</t>
    <rPh sb="0" eb="3">
      <t>エイギョウガイ</t>
    </rPh>
    <phoneticPr fontId="3"/>
  </si>
  <si>
    <t>費用</t>
    <rPh sb="0" eb="2">
      <t>ヒヨウ</t>
    </rPh>
    <phoneticPr fontId="3"/>
  </si>
  <si>
    <t>実績</t>
    <rPh sb="0" eb="2">
      <t>ジッセキ</t>
    </rPh>
    <phoneticPr fontId="6"/>
  </si>
  <si>
    <t>スタッフ関連</t>
    <rPh sb="4" eb="6">
      <t>カンレン</t>
    </rPh>
    <phoneticPr fontId="3"/>
  </si>
  <si>
    <t>社員関連</t>
    <rPh sb="0" eb="2">
      <t>シャイン</t>
    </rPh>
    <rPh sb="2" eb="4">
      <t>カンレン</t>
    </rPh>
    <phoneticPr fontId="3"/>
  </si>
  <si>
    <t>営業内経費</t>
    <rPh sb="0" eb="2">
      <t>エイギョウ</t>
    </rPh>
    <rPh sb="2" eb="3">
      <t>ナイ</t>
    </rPh>
    <rPh sb="3" eb="5">
      <t>ケイヒ</t>
    </rPh>
    <phoneticPr fontId="3"/>
  </si>
  <si>
    <t>営業外経費</t>
    <rPh sb="0" eb="3">
      <t>エイギョウガイ</t>
    </rPh>
    <rPh sb="3" eb="5">
      <t>ケイヒ</t>
    </rPh>
    <phoneticPr fontId="3"/>
  </si>
  <si>
    <t>基本給にあたるもの。欠勤、遅刻、早退控除済み</t>
    <rPh sb="0" eb="3">
      <t>キホンキュウ</t>
    </rPh>
    <rPh sb="10" eb="12">
      <t>ケッキン</t>
    </rPh>
    <rPh sb="13" eb="15">
      <t>チコク</t>
    </rPh>
    <rPh sb="16" eb="18">
      <t>ソウタイ</t>
    </rPh>
    <rPh sb="18" eb="20">
      <t>コウジョ</t>
    </rPh>
    <rPh sb="20" eb="21">
      <t>ズ</t>
    </rPh>
    <phoneticPr fontId="3"/>
  </si>
  <si>
    <t>各種手当</t>
    <rPh sb="0" eb="2">
      <t>カクシュ</t>
    </rPh>
    <rPh sb="2" eb="4">
      <t>テアテ</t>
    </rPh>
    <phoneticPr fontId="3"/>
  </si>
  <si>
    <t>残業等の割増分</t>
    <rPh sb="0" eb="2">
      <t>ザンギョウ</t>
    </rPh>
    <rPh sb="2" eb="3">
      <t>トウ</t>
    </rPh>
    <rPh sb="4" eb="6">
      <t>ワリマシ</t>
    </rPh>
    <rPh sb="6" eb="7">
      <t>ブン</t>
    </rPh>
    <phoneticPr fontId="3"/>
  </si>
  <si>
    <t>会社負担の保険料。労働者分と同額。</t>
    <rPh sb="0" eb="2">
      <t>カイシャ</t>
    </rPh>
    <rPh sb="2" eb="4">
      <t>フタン</t>
    </rPh>
    <rPh sb="5" eb="8">
      <t>ホケンリョウ</t>
    </rPh>
    <rPh sb="9" eb="12">
      <t>ロウドウシャ</t>
    </rPh>
    <rPh sb="12" eb="13">
      <t>ブン</t>
    </rPh>
    <rPh sb="14" eb="16">
      <t>ドウガク</t>
    </rPh>
    <phoneticPr fontId="3"/>
  </si>
  <si>
    <t>会社負担の保険料。1000分の9.5(H24.4～　1000分の8.5)</t>
    <rPh sb="0" eb="2">
      <t>カイシャ</t>
    </rPh>
    <rPh sb="2" eb="4">
      <t>フタン</t>
    </rPh>
    <rPh sb="5" eb="8">
      <t>ホケンリョウ</t>
    </rPh>
    <rPh sb="13" eb="14">
      <t>ブン</t>
    </rPh>
    <rPh sb="30" eb="31">
      <t>ブン</t>
    </rPh>
    <phoneticPr fontId="3"/>
  </si>
  <si>
    <t>1000分の3。メリット率、石綿拠出金は考慮せず。毎月に分散。</t>
    <rPh sb="4" eb="5">
      <t>ブン</t>
    </rPh>
    <rPh sb="12" eb="13">
      <t>リツ</t>
    </rPh>
    <rPh sb="14" eb="16">
      <t>イシワタ</t>
    </rPh>
    <rPh sb="16" eb="19">
      <t>キョシュツキン</t>
    </rPh>
    <rPh sb="20" eb="22">
      <t>コウリョ</t>
    </rPh>
    <rPh sb="25" eb="27">
      <t>マイツキ</t>
    </rPh>
    <rPh sb="28" eb="30">
      <t>ブンサン</t>
    </rPh>
    <phoneticPr fontId="3"/>
  </si>
  <si>
    <t>保険料計算には含めて計算。</t>
    <rPh sb="0" eb="3">
      <t>ホケンリョウ</t>
    </rPh>
    <rPh sb="3" eb="5">
      <t>ケイサン</t>
    </rPh>
    <rPh sb="7" eb="8">
      <t>フク</t>
    </rPh>
    <rPh sb="10" eb="12">
      <t>ケイサン</t>
    </rPh>
    <phoneticPr fontId="3"/>
  </si>
  <si>
    <t>スタッフの経費。派遣先負担の場合は除外。</t>
    <rPh sb="5" eb="7">
      <t>ケイヒ</t>
    </rPh>
    <rPh sb="8" eb="10">
      <t>ハケン</t>
    </rPh>
    <rPh sb="10" eb="11">
      <t>サキ</t>
    </rPh>
    <rPh sb="11" eb="13">
      <t>フタン</t>
    </rPh>
    <rPh sb="14" eb="16">
      <t>バアイ</t>
    </rPh>
    <rPh sb="17" eb="19">
      <t>ジョガイ</t>
    </rPh>
    <phoneticPr fontId="3"/>
  </si>
  <si>
    <t>通勤費を除く総支給額。</t>
    <rPh sb="0" eb="2">
      <t>ツウキン</t>
    </rPh>
    <rPh sb="2" eb="3">
      <t>ヒ</t>
    </rPh>
    <rPh sb="4" eb="5">
      <t>ノゾ</t>
    </rPh>
    <rPh sb="6" eb="7">
      <t>ソウ</t>
    </rPh>
    <rPh sb="7" eb="9">
      <t>シキュウ</t>
    </rPh>
    <rPh sb="9" eb="10">
      <t>ガク</t>
    </rPh>
    <phoneticPr fontId="3"/>
  </si>
  <si>
    <t>発生時のみ。</t>
    <rPh sb="0" eb="2">
      <t>ハッセイ</t>
    </rPh>
    <rPh sb="2" eb="3">
      <t>ジ</t>
    </rPh>
    <phoneticPr fontId="3"/>
  </si>
  <si>
    <t>上記記載のない経費。（健康診断等）</t>
    <rPh sb="0" eb="2">
      <t>ジョウキ</t>
    </rPh>
    <rPh sb="2" eb="4">
      <t>キサイ</t>
    </rPh>
    <rPh sb="7" eb="9">
      <t>ケイヒ</t>
    </rPh>
    <rPh sb="11" eb="13">
      <t>ケンコウ</t>
    </rPh>
    <rPh sb="13" eb="15">
      <t>シンダン</t>
    </rPh>
    <rPh sb="15" eb="16">
      <t>トウ</t>
    </rPh>
    <phoneticPr fontId="3"/>
  </si>
  <si>
    <t>家賃、管理費等。（本社所属部課は頭割り）</t>
    <rPh sb="0" eb="2">
      <t>ヤチン</t>
    </rPh>
    <rPh sb="3" eb="5">
      <t>カンリ</t>
    </rPh>
    <rPh sb="5" eb="6">
      <t>ヒ</t>
    </rPh>
    <rPh sb="6" eb="7">
      <t>トウ</t>
    </rPh>
    <rPh sb="9" eb="11">
      <t>ホンシャ</t>
    </rPh>
    <rPh sb="11" eb="13">
      <t>ショゾク</t>
    </rPh>
    <rPh sb="13" eb="15">
      <t>ブカ</t>
    </rPh>
    <rPh sb="16" eb="18">
      <t>アタマワ</t>
    </rPh>
    <phoneticPr fontId="3"/>
  </si>
  <si>
    <t>損害賠償保険。（全従業員数で頭割り）</t>
    <rPh sb="0" eb="2">
      <t>ソンガイ</t>
    </rPh>
    <rPh sb="2" eb="4">
      <t>バイショウ</t>
    </rPh>
    <rPh sb="4" eb="6">
      <t>ホケン</t>
    </rPh>
    <rPh sb="8" eb="9">
      <t>ゼン</t>
    </rPh>
    <rPh sb="9" eb="12">
      <t>ジュウギョウイン</t>
    </rPh>
    <rPh sb="12" eb="13">
      <t>スウ</t>
    </rPh>
    <rPh sb="14" eb="16">
      <t>アタマワ</t>
    </rPh>
    <phoneticPr fontId="3"/>
  </si>
  <si>
    <t>修理等が発生した場合の費用。</t>
    <rPh sb="0" eb="2">
      <t>シュウリ</t>
    </rPh>
    <rPh sb="2" eb="3">
      <t>トウ</t>
    </rPh>
    <rPh sb="4" eb="6">
      <t>ハッセイ</t>
    </rPh>
    <rPh sb="8" eb="10">
      <t>バアイ</t>
    </rPh>
    <rPh sb="11" eb="13">
      <t>ヒヨウ</t>
    </rPh>
    <phoneticPr fontId="3"/>
  </si>
  <si>
    <t>新聞、書籍を購入した費用</t>
    <rPh sb="0" eb="2">
      <t>シンブン</t>
    </rPh>
    <rPh sb="3" eb="5">
      <t>ショセキ</t>
    </rPh>
    <rPh sb="6" eb="8">
      <t>コウニュウ</t>
    </rPh>
    <rPh sb="10" eb="12">
      <t>ヒヨウ</t>
    </rPh>
    <phoneticPr fontId="3"/>
  </si>
  <si>
    <t>面接等で使用した経費（5000円未満に限る）</t>
    <rPh sb="0" eb="2">
      <t>メンセツ</t>
    </rPh>
    <rPh sb="2" eb="3">
      <t>トウ</t>
    </rPh>
    <rPh sb="4" eb="6">
      <t>シヨウ</t>
    </rPh>
    <rPh sb="8" eb="10">
      <t>ケイヒ</t>
    </rPh>
    <rPh sb="15" eb="16">
      <t>エン</t>
    </rPh>
    <rPh sb="16" eb="18">
      <t>ミマン</t>
    </rPh>
    <rPh sb="19" eb="20">
      <t>カギ</t>
    </rPh>
    <phoneticPr fontId="3"/>
  </si>
  <si>
    <t>出張費（宿泊費、ＥＴＣ、出張手当）</t>
    <rPh sb="0" eb="3">
      <t>シュッチョウヒ</t>
    </rPh>
    <rPh sb="4" eb="7">
      <t>シュクハクヒ</t>
    </rPh>
    <rPh sb="12" eb="14">
      <t>シュッチョウ</t>
    </rPh>
    <rPh sb="14" eb="16">
      <t>テアテ</t>
    </rPh>
    <phoneticPr fontId="3"/>
  </si>
  <si>
    <t>携帯電話代</t>
    <rPh sb="0" eb="2">
      <t>ケイタイ</t>
    </rPh>
    <rPh sb="2" eb="4">
      <t>デンワ</t>
    </rPh>
    <rPh sb="4" eb="5">
      <t>ダイ</t>
    </rPh>
    <phoneticPr fontId="3"/>
  </si>
  <si>
    <t>電気代等。（本社所属部課は頭割り）</t>
    <rPh sb="0" eb="3">
      <t>デンキダイ</t>
    </rPh>
    <rPh sb="3" eb="4">
      <t>トウ</t>
    </rPh>
    <rPh sb="6" eb="8">
      <t>ホンシャ</t>
    </rPh>
    <rPh sb="8" eb="10">
      <t>ショゾク</t>
    </rPh>
    <rPh sb="10" eb="12">
      <t>ブカ</t>
    </rPh>
    <rPh sb="13" eb="15">
      <t>アタマワ</t>
    </rPh>
    <phoneticPr fontId="3"/>
  </si>
  <si>
    <t>特に該当なし</t>
    <rPh sb="0" eb="1">
      <t>トク</t>
    </rPh>
    <rPh sb="2" eb="4">
      <t>ガイトウ</t>
    </rPh>
    <phoneticPr fontId="3"/>
  </si>
  <si>
    <t>研修等に出席した場合。</t>
    <rPh sb="0" eb="2">
      <t>ケンシュウ</t>
    </rPh>
    <rPh sb="2" eb="3">
      <t>トウ</t>
    </rPh>
    <rPh sb="4" eb="6">
      <t>シュッセキ</t>
    </rPh>
    <rPh sb="8" eb="10">
      <t>バアイ</t>
    </rPh>
    <phoneticPr fontId="3"/>
  </si>
  <si>
    <t>交際費</t>
    <rPh sb="0" eb="2">
      <t>コウサイ</t>
    </rPh>
    <rPh sb="2" eb="3">
      <t>ヒ</t>
    </rPh>
    <phoneticPr fontId="3"/>
  </si>
  <si>
    <t>特に該当なし（資産等がある事業所は発生）</t>
    <rPh sb="0" eb="1">
      <t>トク</t>
    </rPh>
    <rPh sb="2" eb="4">
      <t>ガイトウ</t>
    </rPh>
    <rPh sb="7" eb="9">
      <t>シサン</t>
    </rPh>
    <rPh sb="9" eb="10">
      <t>トウ</t>
    </rPh>
    <rPh sb="13" eb="16">
      <t>ジギョウショ</t>
    </rPh>
    <rPh sb="17" eb="19">
      <t>ハッセイ</t>
    </rPh>
    <phoneticPr fontId="3"/>
  </si>
  <si>
    <t>上記に当てはまらない経費。</t>
    <rPh sb="0" eb="2">
      <t>ジョウキ</t>
    </rPh>
    <rPh sb="3" eb="4">
      <t>ア</t>
    </rPh>
    <rPh sb="10" eb="12">
      <t>ケイヒ</t>
    </rPh>
    <phoneticPr fontId="3"/>
  </si>
  <si>
    <t>健康診断料、会社主催の飲食会、お茶、コーヒー代。</t>
    <rPh sb="0" eb="2">
      <t>ケンコウ</t>
    </rPh>
    <rPh sb="2" eb="4">
      <t>シンダン</t>
    </rPh>
    <rPh sb="4" eb="5">
      <t>リョウ</t>
    </rPh>
    <rPh sb="6" eb="8">
      <t>カイシャ</t>
    </rPh>
    <rPh sb="8" eb="10">
      <t>シュサイ</t>
    </rPh>
    <rPh sb="11" eb="13">
      <t>インショク</t>
    </rPh>
    <rPh sb="13" eb="14">
      <t>カイ</t>
    </rPh>
    <rPh sb="16" eb="17">
      <t>チャ</t>
    </rPh>
    <rPh sb="22" eb="23">
      <t>ダイ</t>
    </rPh>
    <phoneticPr fontId="3"/>
  </si>
  <si>
    <t>コピー用紙等の消耗品費。頭割り。</t>
    <rPh sb="3" eb="5">
      <t>ヨウシ</t>
    </rPh>
    <rPh sb="5" eb="6">
      <t>トウ</t>
    </rPh>
    <rPh sb="7" eb="9">
      <t>ショウモウ</t>
    </rPh>
    <rPh sb="9" eb="10">
      <t>ヒン</t>
    </rPh>
    <rPh sb="10" eb="11">
      <t>ヒ</t>
    </rPh>
    <rPh sb="12" eb="14">
      <t>アタマワ</t>
    </rPh>
    <phoneticPr fontId="3"/>
  </si>
  <si>
    <t>家賃、管理費等。頭割り。</t>
    <rPh sb="0" eb="2">
      <t>ヤチン</t>
    </rPh>
    <rPh sb="3" eb="5">
      <t>カンリ</t>
    </rPh>
    <rPh sb="5" eb="6">
      <t>ヒ</t>
    </rPh>
    <rPh sb="6" eb="7">
      <t>トウ</t>
    </rPh>
    <rPh sb="8" eb="10">
      <t>アタマワ</t>
    </rPh>
    <phoneticPr fontId="3"/>
  </si>
  <si>
    <t>リース費用。（電話機、複合機）（本社所属部課は頭割り）</t>
    <rPh sb="3" eb="5">
      <t>ヒヨウ</t>
    </rPh>
    <rPh sb="7" eb="10">
      <t>デンワキ</t>
    </rPh>
    <rPh sb="11" eb="14">
      <t>フクゴウキ</t>
    </rPh>
    <rPh sb="16" eb="18">
      <t>ホンシャ</t>
    </rPh>
    <rPh sb="18" eb="20">
      <t>ショゾク</t>
    </rPh>
    <rPh sb="20" eb="22">
      <t>ブカ</t>
    </rPh>
    <rPh sb="23" eb="25">
      <t>アタマワ</t>
    </rPh>
    <phoneticPr fontId="3"/>
  </si>
  <si>
    <t>損害賠償保険。（全従業員数で頭割り）、火災保険、自動車保険</t>
    <rPh sb="0" eb="2">
      <t>ソンガイ</t>
    </rPh>
    <rPh sb="2" eb="4">
      <t>バイショウ</t>
    </rPh>
    <rPh sb="4" eb="6">
      <t>ホケン</t>
    </rPh>
    <rPh sb="8" eb="9">
      <t>ゼン</t>
    </rPh>
    <rPh sb="9" eb="12">
      <t>ジュウギョウイン</t>
    </rPh>
    <rPh sb="12" eb="13">
      <t>スウ</t>
    </rPh>
    <rPh sb="14" eb="16">
      <t>アタマワ</t>
    </rPh>
    <rPh sb="19" eb="21">
      <t>カサイ</t>
    </rPh>
    <rPh sb="21" eb="23">
      <t>ホケン</t>
    </rPh>
    <rPh sb="24" eb="27">
      <t>ジドウシャ</t>
    </rPh>
    <rPh sb="27" eb="29">
      <t>ホケン</t>
    </rPh>
    <phoneticPr fontId="3"/>
  </si>
  <si>
    <t>電話代、切手代、携帯電話代</t>
    <rPh sb="0" eb="3">
      <t>デンワダイ</t>
    </rPh>
    <rPh sb="4" eb="6">
      <t>キッテ</t>
    </rPh>
    <rPh sb="6" eb="7">
      <t>ダイ</t>
    </rPh>
    <rPh sb="8" eb="10">
      <t>ケイタイ</t>
    </rPh>
    <rPh sb="10" eb="12">
      <t>デンワ</t>
    </rPh>
    <rPh sb="12" eb="13">
      <t>ダイ</t>
    </rPh>
    <phoneticPr fontId="3"/>
  </si>
  <si>
    <t>電気代等。頭割り</t>
    <rPh sb="0" eb="3">
      <t>デンキダイ</t>
    </rPh>
    <rPh sb="3" eb="4">
      <t>トウ</t>
    </rPh>
    <rPh sb="5" eb="7">
      <t>アタマワ</t>
    </rPh>
    <phoneticPr fontId="3"/>
  </si>
  <si>
    <t>郵送費。頭割り</t>
    <rPh sb="0" eb="3">
      <t>ユウソウヒ</t>
    </rPh>
    <rPh sb="4" eb="6">
      <t>アタマワ</t>
    </rPh>
    <phoneticPr fontId="3"/>
  </si>
  <si>
    <t>広告、宣伝活動費。</t>
    <rPh sb="0" eb="2">
      <t>コウコク</t>
    </rPh>
    <rPh sb="3" eb="5">
      <t>センデン</t>
    </rPh>
    <rPh sb="5" eb="7">
      <t>カツドウ</t>
    </rPh>
    <rPh sb="7" eb="8">
      <t>ヒ</t>
    </rPh>
    <phoneticPr fontId="3"/>
  </si>
  <si>
    <t>社員等を募集する際に発生する広告宣伝費。</t>
    <rPh sb="0" eb="2">
      <t>シャイン</t>
    </rPh>
    <rPh sb="2" eb="3">
      <t>トウ</t>
    </rPh>
    <rPh sb="4" eb="6">
      <t>ボシュウ</t>
    </rPh>
    <rPh sb="8" eb="9">
      <t>サイ</t>
    </rPh>
    <rPh sb="10" eb="12">
      <t>ハッセイ</t>
    </rPh>
    <rPh sb="14" eb="16">
      <t>コウコク</t>
    </rPh>
    <rPh sb="16" eb="19">
      <t>センデンヒ</t>
    </rPh>
    <phoneticPr fontId="3"/>
  </si>
  <si>
    <t>不動産運用にかかる費用。</t>
    <rPh sb="0" eb="3">
      <t>フドウサン</t>
    </rPh>
    <rPh sb="3" eb="5">
      <t>ウンヨウ</t>
    </rPh>
    <rPh sb="9" eb="11">
      <t>ヒヨウ</t>
    </rPh>
    <phoneticPr fontId="3"/>
  </si>
  <si>
    <t>派遣協会、ＳＭＢＣ、ビジネススクエア</t>
    <rPh sb="0" eb="2">
      <t>ハケン</t>
    </rPh>
    <rPh sb="2" eb="4">
      <t>キョウカイ</t>
    </rPh>
    <phoneticPr fontId="3"/>
  </si>
  <si>
    <t>社債、借入金利息等</t>
    <rPh sb="0" eb="2">
      <t>シャサイ</t>
    </rPh>
    <rPh sb="3" eb="5">
      <t>カリイレ</t>
    </rPh>
    <rPh sb="5" eb="6">
      <t>キン</t>
    </rPh>
    <rPh sb="6" eb="8">
      <t>リソク</t>
    </rPh>
    <rPh sb="8" eb="9">
      <t>トウ</t>
    </rPh>
    <phoneticPr fontId="3"/>
  </si>
  <si>
    <t>本社経費明細説明書</t>
    <rPh sb="0" eb="2">
      <t>ホンシャ</t>
    </rPh>
    <rPh sb="2" eb="4">
      <t>ケイヒ</t>
    </rPh>
    <rPh sb="4" eb="6">
      <t>メイサイ</t>
    </rPh>
    <rPh sb="6" eb="9">
      <t>セツメイショ</t>
    </rPh>
    <phoneticPr fontId="3"/>
  </si>
  <si>
    <t>項目説明書</t>
    <rPh sb="0" eb="2">
      <t>コウモク</t>
    </rPh>
    <rPh sb="2" eb="5">
      <t>セツメイショ</t>
    </rPh>
    <phoneticPr fontId="3"/>
  </si>
  <si>
    <t>大項目</t>
    <rPh sb="0" eb="3">
      <t>ダイコウモク</t>
    </rPh>
    <phoneticPr fontId="3"/>
  </si>
  <si>
    <t>小項目</t>
    <rPh sb="0" eb="3">
      <t>ショウコウモク</t>
    </rPh>
    <phoneticPr fontId="3"/>
  </si>
  <si>
    <t>説明</t>
    <rPh sb="0" eb="2">
      <t>セツメイ</t>
    </rPh>
    <phoneticPr fontId="3"/>
  </si>
  <si>
    <t>2012/2/14作成</t>
    <rPh sb="9" eb="11">
      <t>サクセイ</t>
    </rPh>
    <phoneticPr fontId="3"/>
  </si>
  <si>
    <t>コピー用紙、文房具等の消耗品費。（本社所属部課は頭割り）</t>
    <rPh sb="3" eb="5">
      <t>ヨウシ</t>
    </rPh>
    <rPh sb="6" eb="9">
      <t>ブンボウグ</t>
    </rPh>
    <rPh sb="9" eb="10">
      <t>トウ</t>
    </rPh>
    <rPh sb="11" eb="13">
      <t>ショウモウ</t>
    </rPh>
    <rPh sb="13" eb="14">
      <t>ヒン</t>
    </rPh>
    <rPh sb="14" eb="15">
      <t>ヒ</t>
    </rPh>
    <rPh sb="17" eb="19">
      <t>ホンシャ</t>
    </rPh>
    <rPh sb="19" eb="21">
      <t>ショゾク</t>
    </rPh>
    <rPh sb="21" eb="23">
      <t>ブカ</t>
    </rPh>
    <rPh sb="24" eb="26">
      <t>アタマワ</t>
    </rPh>
    <phoneticPr fontId="3"/>
  </si>
  <si>
    <t>車の使用に係る費用。（ガソリン代、維持費）</t>
    <rPh sb="0" eb="1">
      <t>クルマ</t>
    </rPh>
    <rPh sb="2" eb="4">
      <t>シヨウ</t>
    </rPh>
    <rPh sb="5" eb="6">
      <t>カカ</t>
    </rPh>
    <rPh sb="7" eb="9">
      <t>ヒヨウ</t>
    </rPh>
    <rPh sb="15" eb="16">
      <t>ダイ</t>
    </rPh>
    <rPh sb="17" eb="20">
      <t>イジヒ</t>
    </rPh>
    <phoneticPr fontId="3"/>
  </si>
  <si>
    <t>印紙税、入札手数料</t>
    <rPh sb="0" eb="3">
      <t>インシゼイ</t>
    </rPh>
    <rPh sb="4" eb="6">
      <t>ニュウサツ</t>
    </rPh>
    <rPh sb="6" eb="9">
      <t>テスウリョウ</t>
    </rPh>
    <phoneticPr fontId="3"/>
  </si>
  <si>
    <t>出張費（宿泊費、ＥＴＣ、出張手当）、交通費</t>
    <rPh sb="0" eb="3">
      <t>シュッチョウヒ</t>
    </rPh>
    <rPh sb="4" eb="7">
      <t>シュクハクヒ</t>
    </rPh>
    <rPh sb="12" eb="14">
      <t>シュッチョウ</t>
    </rPh>
    <rPh sb="14" eb="16">
      <t>テアテ</t>
    </rPh>
    <rPh sb="18" eb="21">
      <t>コウツウヒ</t>
    </rPh>
    <phoneticPr fontId="3"/>
  </si>
  <si>
    <t>交際費、手土産等</t>
    <rPh sb="0" eb="2">
      <t>コウサイ</t>
    </rPh>
    <rPh sb="2" eb="3">
      <t>ヒ</t>
    </rPh>
    <rPh sb="4" eb="7">
      <t>テミヤゲ</t>
    </rPh>
    <rPh sb="7" eb="8">
      <t>トウ</t>
    </rPh>
    <phoneticPr fontId="3"/>
  </si>
  <si>
    <t>電話機、複合機のリース費用（頭割り）、サーバーのリース費用、車のリース</t>
    <rPh sb="0" eb="3">
      <t>デンワキ</t>
    </rPh>
    <rPh sb="4" eb="7">
      <t>フクゴウキ</t>
    </rPh>
    <rPh sb="11" eb="13">
      <t>ヒヨウ</t>
    </rPh>
    <rPh sb="14" eb="16">
      <t>アタマワ</t>
    </rPh>
    <rPh sb="27" eb="29">
      <t>ヒヨウ</t>
    </rPh>
    <rPh sb="30" eb="31">
      <t>クルマ</t>
    </rPh>
    <phoneticPr fontId="3"/>
  </si>
  <si>
    <t>印紙税、自動車税等</t>
    <rPh sb="0" eb="3">
      <t>インシゼイ</t>
    </rPh>
    <rPh sb="4" eb="7">
      <t>ジドウシャ</t>
    </rPh>
    <rPh sb="7" eb="8">
      <t>ゼイ</t>
    </rPh>
    <rPh sb="8" eb="9">
      <t>トウ</t>
    </rPh>
    <phoneticPr fontId="3"/>
  </si>
  <si>
    <t>資産（車等）の減価償却費。備品、パソコン等。</t>
    <rPh sb="0" eb="2">
      <t>シサン</t>
    </rPh>
    <rPh sb="3" eb="4">
      <t>クルマ</t>
    </rPh>
    <rPh sb="4" eb="5">
      <t>トウ</t>
    </rPh>
    <rPh sb="7" eb="9">
      <t>ゲンカ</t>
    </rPh>
    <rPh sb="9" eb="11">
      <t>ショウキャク</t>
    </rPh>
    <rPh sb="11" eb="12">
      <t>ヒ</t>
    </rPh>
    <rPh sb="13" eb="15">
      <t>ビヒン</t>
    </rPh>
    <rPh sb="20" eb="21">
      <t>トウ</t>
    </rPh>
    <phoneticPr fontId="3"/>
  </si>
  <si>
    <t>税理士、弁護士、社労士の毎月発生する顧問料。銀行取引の手数料。
その他上記該当しないもの。</t>
    <rPh sb="0" eb="3">
      <t>ゼイリシ</t>
    </rPh>
    <rPh sb="4" eb="7">
      <t>ベンゴシ</t>
    </rPh>
    <rPh sb="8" eb="11">
      <t>シャロウシ</t>
    </rPh>
    <rPh sb="12" eb="14">
      <t>マイツキ</t>
    </rPh>
    <rPh sb="14" eb="16">
      <t>ハッセイ</t>
    </rPh>
    <rPh sb="18" eb="20">
      <t>コモン</t>
    </rPh>
    <rPh sb="20" eb="21">
      <t>リョウ</t>
    </rPh>
    <rPh sb="22" eb="24">
      <t>ギンコウ</t>
    </rPh>
    <rPh sb="24" eb="26">
      <t>トリヒキ</t>
    </rPh>
    <rPh sb="27" eb="30">
      <t>テスウリョウ</t>
    </rPh>
    <rPh sb="34" eb="35">
      <t>タ</t>
    </rPh>
    <rPh sb="35" eb="37">
      <t>ジョウキ</t>
    </rPh>
    <rPh sb="37" eb="39">
      <t>ガイトウ</t>
    </rPh>
    <phoneticPr fontId="3"/>
  </si>
  <si>
    <t>障害者雇用にかかる納付金。労働争議等の賠償金。不動産の敷金等。</t>
    <rPh sb="0" eb="3">
      <t>ショウガイシャ</t>
    </rPh>
    <rPh sb="3" eb="5">
      <t>コヨウ</t>
    </rPh>
    <rPh sb="9" eb="12">
      <t>ノウフキン</t>
    </rPh>
    <rPh sb="13" eb="15">
      <t>ロウドウ</t>
    </rPh>
    <rPh sb="15" eb="17">
      <t>ソウギ</t>
    </rPh>
    <rPh sb="17" eb="18">
      <t>トウ</t>
    </rPh>
    <rPh sb="19" eb="22">
      <t>バイショウキン</t>
    </rPh>
    <rPh sb="23" eb="26">
      <t>フドウサン</t>
    </rPh>
    <rPh sb="27" eb="29">
      <t>シキキン</t>
    </rPh>
    <rPh sb="29" eb="30">
      <t>トウ</t>
    </rPh>
    <phoneticPr fontId="3"/>
  </si>
  <si>
    <t>ＩＧＣ顧問料。サーバー等の保守費。</t>
    <rPh sb="3" eb="5">
      <t>コモン</t>
    </rPh>
    <rPh sb="5" eb="6">
      <t>リョウ</t>
    </rPh>
    <rPh sb="11" eb="12">
      <t>トウ</t>
    </rPh>
    <rPh sb="13" eb="15">
      <t>ホシュ</t>
    </rPh>
    <rPh sb="15" eb="16">
      <t>ヒ</t>
    </rPh>
    <phoneticPr fontId="3"/>
  </si>
  <si>
    <t>不動産仲介料、その他手数料</t>
    <rPh sb="0" eb="3">
      <t>フドウサン</t>
    </rPh>
    <rPh sb="3" eb="5">
      <t>チュウカイ</t>
    </rPh>
    <rPh sb="5" eb="6">
      <t>リョウ</t>
    </rPh>
    <rPh sb="9" eb="10">
      <t>タ</t>
    </rPh>
    <rPh sb="10" eb="13">
      <t>テスウリョウ</t>
    </rPh>
    <phoneticPr fontId="3"/>
  </si>
  <si>
    <t>企業名</t>
    <rPh sb="0" eb="2">
      <t>キギョウ</t>
    </rPh>
    <rPh sb="2" eb="3">
      <t>メイ</t>
    </rPh>
    <phoneticPr fontId="6"/>
  </si>
  <si>
    <t>２月</t>
    <rPh sb="1" eb="2">
      <t>ガツ</t>
    </rPh>
    <phoneticPr fontId="6"/>
  </si>
  <si>
    <t>３月</t>
    <rPh sb="1" eb="2">
      <t>ガツ</t>
    </rPh>
    <phoneticPr fontId="6"/>
  </si>
  <si>
    <t>４月</t>
  </si>
  <si>
    <t>５月</t>
  </si>
  <si>
    <t>６月</t>
  </si>
  <si>
    <t>９月</t>
  </si>
  <si>
    <t>１０月</t>
  </si>
  <si>
    <t>１１月</t>
  </si>
  <si>
    <t>１２月</t>
  </si>
  <si>
    <t>１月</t>
  </si>
  <si>
    <t>合計</t>
    <rPh sb="0" eb="2">
      <t>ゴウケイ</t>
    </rPh>
    <phoneticPr fontId="6"/>
  </si>
  <si>
    <t>基本給</t>
    <rPh sb="0" eb="3">
      <t>キホンキュウ</t>
    </rPh>
    <phoneticPr fontId="6"/>
  </si>
  <si>
    <t>手当</t>
    <rPh sb="0" eb="2">
      <t>テアテ</t>
    </rPh>
    <phoneticPr fontId="6"/>
  </si>
  <si>
    <t>労働保険</t>
    <rPh sb="0" eb="2">
      <t>ロウドウ</t>
    </rPh>
    <rPh sb="2" eb="4">
      <t>ホケン</t>
    </rPh>
    <phoneticPr fontId="6"/>
  </si>
  <si>
    <t>総支給額</t>
    <rPh sb="0" eb="1">
      <t>ソウ</t>
    </rPh>
    <rPh sb="1" eb="3">
      <t>シキュウ</t>
    </rPh>
    <rPh sb="3" eb="4">
      <t>ガク</t>
    </rPh>
    <phoneticPr fontId="6"/>
  </si>
  <si>
    <t>粗利</t>
    <rPh sb="0" eb="2">
      <t>アラリ</t>
    </rPh>
    <phoneticPr fontId="6"/>
  </si>
  <si>
    <t>粗利率</t>
    <rPh sb="0" eb="2">
      <t>アラリ</t>
    </rPh>
    <rPh sb="2" eb="3">
      <t>リツ</t>
    </rPh>
    <phoneticPr fontId="6"/>
  </si>
  <si>
    <t>有給日数</t>
    <phoneticPr fontId="6"/>
  </si>
  <si>
    <r>
      <t>７</t>
    </r>
    <r>
      <rPr>
        <sz val="11"/>
        <rFont val="ＭＳ Ｐゴシック"/>
        <family val="3"/>
        <charset val="128"/>
      </rPr>
      <t>月</t>
    </r>
    <phoneticPr fontId="6"/>
  </si>
  <si>
    <t>８月</t>
    <phoneticPr fontId="6"/>
  </si>
  <si>
    <t>名古屋</t>
    <rPh sb="0" eb="3">
      <t>ナゴヤ</t>
    </rPh>
    <phoneticPr fontId="3"/>
  </si>
  <si>
    <t>東京</t>
    <rPh sb="0" eb="2">
      <t>トウキョウ</t>
    </rPh>
    <phoneticPr fontId="3"/>
  </si>
  <si>
    <t>２０１２年　企業別実績表　（李）</t>
    <rPh sb="4" eb="5">
      <t>ネン</t>
    </rPh>
    <rPh sb="6" eb="8">
      <t>キギョウ</t>
    </rPh>
    <rPh sb="8" eb="9">
      <t>ベツ</t>
    </rPh>
    <rPh sb="9" eb="11">
      <t>ジッセキ</t>
    </rPh>
    <rPh sb="11" eb="12">
      <t>ヒョウ</t>
    </rPh>
    <rPh sb="14" eb="15">
      <t>リ</t>
    </rPh>
    <phoneticPr fontId="6"/>
  </si>
  <si>
    <t>本社</t>
    <rPh sb="0" eb="2">
      <t>ホンシャ</t>
    </rPh>
    <phoneticPr fontId="6"/>
  </si>
  <si>
    <t>全社</t>
    <rPh sb="0" eb="2">
      <t>ゼンシャ</t>
    </rPh>
    <phoneticPr fontId="3"/>
  </si>
  <si>
    <t>配属者経費</t>
    <rPh sb="0" eb="2">
      <t>ハイゾク</t>
    </rPh>
    <rPh sb="2" eb="3">
      <t>シャ</t>
    </rPh>
    <rPh sb="3" eb="5">
      <t>ケイヒ</t>
    </rPh>
    <phoneticPr fontId="3"/>
  </si>
  <si>
    <t>有給日数</t>
    <phoneticPr fontId="6"/>
  </si>
  <si>
    <t>有給日数</t>
    <phoneticPr fontId="6"/>
  </si>
  <si>
    <t>８月</t>
    <phoneticPr fontId="6"/>
  </si>
  <si>
    <t>手　　　当</t>
    <phoneticPr fontId="6"/>
  </si>
  <si>
    <t>有給日数</t>
    <phoneticPr fontId="6"/>
  </si>
  <si>
    <t>２０１３年　企業別実績表　（大阪Ｍ）</t>
    <rPh sb="4" eb="5">
      <t>ネン</t>
    </rPh>
    <rPh sb="6" eb="8">
      <t>キギョウ</t>
    </rPh>
    <rPh sb="8" eb="9">
      <t>ベツ</t>
    </rPh>
    <rPh sb="9" eb="11">
      <t>ジッセキ</t>
    </rPh>
    <rPh sb="11" eb="12">
      <t>ヒョウ</t>
    </rPh>
    <rPh sb="14" eb="16">
      <t>オオサカ</t>
    </rPh>
    <phoneticPr fontId="6"/>
  </si>
  <si>
    <r>
      <t>７</t>
    </r>
    <r>
      <rPr>
        <sz val="11"/>
        <rFont val="ＭＳ Ｐゴシック"/>
        <family val="3"/>
        <charset val="128"/>
      </rPr>
      <t>月</t>
    </r>
    <phoneticPr fontId="6"/>
  </si>
  <si>
    <t>２０１３年　企業別実績表　（名古屋）</t>
    <rPh sb="4" eb="5">
      <t>ネン</t>
    </rPh>
    <rPh sb="6" eb="8">
      <t>キギョウ</t>
    </rPh>
    <rPh sb="8" eb="9">
      <t>ベツ</t>
    </rPh>
    <rPh sb="9" eb="11">
      <t>ジッセキ</t>
    </rPh>
    <rPh sb="11" eb="12">
      <t>ヒョウ</t>
    </rPh>
    <rPh sb="14" eb="17">
      <t>ナゴヤ</t>
    </rPh>
    <phoneticPr fontId="6"/>
  </si>
  <si>
    <r>
      <t>７</t>
    </r>
    <r>
      <rPr>
        <sz val="11"/>
        <rFont val="ＭＳ Ｐゴシック"/>
        <family val="3"/>
        <charset val="128"/>
      </rPr>
      <t>月</t>
    </r>
    <phoneticPr fontId="6"/>
  </si>
  <si>
    <t>８月</t>
    <phoneticPr fontId="6"/>
  </si>
  <si>
    <t>２０１３年　企業別実績表　（東京）</t>
    <rPh sb="4" eb="5">
      <t>ネン</t>
    </rPh>
    <rPh sb="6" eb="8">
      <t>キギョウ</t>
    </rPh>
    <rPh sb="8" eb="9">
      <t>ベツ</t>
    </rPh>
    <rPh sb="9" eb="11">
      <t>ジッセキ</t>
    </rPh>
    <rPh sb="11" eb="12">
      <t>ヒョウ</t>
    </rPh>
    <rPh sb="14" eb="16">
      <t>トウキョウ</t>
    </rPh>
    <phoneticPr fontId="6"/>
  </si>
  <si>
    <t/>
  </si>
  <si>
    <t xml:space="preserve">―     </t>
  </si>
  <si>
    <t>⇒ここから合計額のみコピー</t>
    <rPh sb="5" eb="7">
      <t>ゴウケイ</t>
    </rPh>
    <rPh sb="7" eb="8">
      <t>ガク</t>
    </rPh>
    <phoneticPr fontId="3"/>
  </si>
  <si>
    <t>面接会場代</t>
    <rPh sb="0" eb="2">
      <t>メンセツ</t>
    </rPh>
    <rPh sb="2" eb="4">
      <t>カイジョウ</t>
    </rPh>
    <rPh sb="4" eb="5">
      <t>ダイ</t>
    </rPh>
    <phoneticPr fontId="3"/>
  </si>
  <si>
    <t>諸会費</t>
    <rPh sb="0" eb="1">
      <t>ショ</t>
    </rPh>
    <rPh sb="1" eb="3">
      <t>カイヒ</t>
    </rPh>
    <phoneticPr fontId="3"/>
  </si>
  <si>
    <t>雑費</t>
    <rPh sb="0" eb="2">
      <t>ザッピ</t>
    </rPh>
    <phoneticPr fontId="3"/>
  </si>
  <si>
    <t>配属者健診代</t>
    <rPh sb="0" eb="2">
      <t>ハイゾク</t>
    </rPh>
    <rPh sb="2" eb="3">
      <t>シャ</t>
    </rPh>
    <rPh sb="3" eb="5">
      <t>ケンシン</t>
    </rPh>
    <rPh sb="5" eb="6">
      <t>ダイ</t>
    </rPh>
    <phoneticPr fontId="3"/>
  </si>
  <si>
    <t>本社管理費</t>
    <rPh sb="0" eb="2">
      <t>ホンシャ</t>
    </rPh>
    <rPh sb="2" eb="5">
      <t>カンリヒ</t>
    </rPh>
    <phoneticPr fontId="6"/>
  </si>
  <si>
    <t>経常利益(TB)</t>
    <rPh sb="0" eb="2">
      <t>ケイジョウ</t>
    </rPh>
    <rPh sb="2" eb="4">
      <t>リエキ</t>
    </rPh>
    <phoneticPr fontId="6"/>
  </si>
  <si>
    <t>面接会場費</t>
    <rPh sb="0" eb="2">
      <t>メンセツ</t>
    </rPh>
    <rPh sb="2" eb="4">
      <t>カイジョウ</t>
    </rPh>
    <rPh sb="4" eb="5">
      <t>ヒ</t>
    </rPh>
    <phoneticPr fontId="6"/>
  </si>
  <si>
    <t>支払報酬料</t>
    <rPh sb="0" eb="2">
      <t>シハライ</t>
    </rPh>
    <rPh sb="2" eb="4">
      <t>ホウシュウ</t>
    </rPh>
    <rPh sb="4" eb="5">
      <t>リョウ</t>
    </rPh>
    <phoneticPr fontId="6"/>
  </si>
  <si>
    <r>
      <rPr>
        <sz val="11"/>
        <color theme="1"/>
        <rFont val="ＭＳ Ｐゴシック"/>
        <family val="2"/>
        <charset val="128"/>
        <scheme val="minor"/>
      </rPr>
      <t>売上金額</t>
    </r>
    <rPh sb="0" eb="2">
      <t>ウリアゲ</t>
    </rPh>
    <rPh sb="2" eb="3">
      <t>キン</t>
    </rPh>
    <rPh sb="3" eb="4">
      <t>ガク</t>
    </rPh>
    <phoneticPr fontId="3"/>
  </si>
  <si>
    <r>
      <rPr>
        <sz val="11"/>
        <color theme="1"/>
        <rFont val="ＭＳ Ｐゴシック"/>
        <family val="2"/>
        <charset val="128"/>
        <scheme val="minor"/>
      </rPr>
      <t>基本給</t>
    </r>
    <rPh sb="0" eb="3">
      <t>キホンキュウ</t>
    </rPh>
    <phoneticPr fontId="3"/>
  </si>
  <si>
    <r>
      <rPr>
        <sz val="11"/>
        <color theme="1"/>
        <rFont val="ＭＳ Ｐゴシック"/>
        <family val="2"/>
        <charset val="128"/>
        <scheme val="minor"/>
      </rPr>
      <t>手当</t>
    </r>
    <rPh sb="0" eb="2">
      <t>テアテ</t>
    </rPh>
    <phoneticPr fontId="3"/>
  </si>
  <si>
    <r>
      <rPr>
        <sz val="11"/>
        <color theme="1"/>
        <rFont val="ＭＳ Ｐゴシック"/>
        <family val="2"/>
        <charset val="128"/>
        <scheme val="minor"/>
      </rPr>
      <t>通勤費</t>
    </r>
    <rPh sb="0" eb="2">
      <t>ツウキン</t>
    </rPh>
    <rPh sb="2" eb="3">
      <t>ヒ</t>
    </rPh>
    <phoneticPr fontId="3"/>
  </si>
  <si>
    <r>
      <rPr>
        <sz val="11"/>
        <color theme="1"/>
        <rFont val="ＭＳ Ｐゴシック"/>
        <family val="2"/>
        <charset val="128"/>
        <scheme val="minor"/>
      </rPr>
      <t>割増手当</t>
    </r>
    <rPh sb="0" eb="2">
      <t>ワリマシ</t>
    </rPh>
    <rPh sb="2" eb="4">
      <t>テアテ</t>
    </rPh>
    <phoneticPr fontId="3"/>
  </si>
  <si>
    <r>
      <rPr>
        <sz val="11"/>
        <color theme="1"/>
        <rFont val="ＭＳ Ｐゴシック"/>
        <family val="2"/>
        <charset val="128"/>
        <scheme val="minor"/>
      </rPr>
      <t>健康保険</t>
    </r>
    <rPh sb="0" eb="2">
      <t>ケンコウ</t>
    </rPh>
    <rPh sb="2" eb="4">
      <t>ホケン</t>
    </rPh>
    <phoneticPr fontId="3"/>
  </si>
  <si>
    <r>
      <rPr>
        <sz val="11"/>
        <color theme="1"/>
        <rFont val="ＭＳ Ｐゴシック"/>
        <family val="2"/>
        <charset val="128"/>
        <scheme val="minor"/>
      </rPr>
      <t>介護保険</t>
    </r>
    <rPh sb="0" eb="2">
      <t>カイゴ</t>
    </rPh>
    <rPh sb="2" eb="4">
      <t>ホケン</t>
    </rPh>
    <phoneticPr fontId="3"/>
  </si>
  <si>
    <r>
      <rPr>
        <sz val="11"/>
        <color theme="1"/>
        <rFont val="ＭＳ Ｐゴシック"/>
        <family val="2"/>
        <charset val="128"/>
        <scheme val="minor"/>
      </rPr>
      <t>厚生年金</t>
    </r>
    <rPh sb="0" eb="2">
      <t>コウセイ</t>
    </rPh>
    <rPh sb="2" eb="4">
      <t>ネンキン</t>
    </rPh>
    <phoneticPr fontId="3"/>
  </si>
  <si>
    <r>
      <rPr>
        <sz val="11"/>
        <color theme="1"/>
        <rFont val="ＭＳ Ｐゴシック"/>
        <family val="2"/>
        <charset val="128"/>
        <scheme val="minor"/>
      </rPr>
      <t>労働保険</t>
    </r>
    <rPh sb="0" eb="2">
      <t>ロウドウ</t>
    </rPh>
    <rPh sb="2" eb="4">
      <t>ホケン</t>
    </rPh>
    <phoneticPr fontId="3"/>
  </si>
  <si>
    <r>
      <rPr>
        <sz val="11"/>
        <color theme="1"/>
        <rFont val="ＭＳ Ｐゴシック"/>
        <family val="2"/>
        <charset val="128"/>
        <scheme val="minor"/>
      </rPr>
      <t>総支給額</t>
    </r>
    <rPh sb="0" eb="1">
      <t>ソウ</t>
    </rPh>
    <rPh sb="1" eb="3">
      <t>シキュウ</t>
    </rPh>
    <rPh sb="3" eb="4">
      <t>ガク</t>
    </rPh>
    <phoneticPr fontId="3"/>
  </si>
  <si>
    <r>
      <rPr>
        <sz val="11"/>
        <color theme="1"/>
        <rFont val="ＭＳ Ｐゴシック"/>
        <family val="2"/>
        <charset val="128"/>
        <scheme val="minor"/>
      </rPr>
      <t>配属者数</t>
    </r>
    <rPh sb="0" eb="2">
      <t>ハイゾク</t>
    </rPh>
    <rPh sb="2" eb="3">
      <t>シャ</t>
    </rPh>
    <rPh sb="3" eb="4">
      <t>スウ</t>
    </rPh>
    <phoneticPr fontId="3"/>
  </si>
  <si>
    <t>有給日数</t>
  </si>
  <si>
    <r>
      <rPr>
        <sz val="11"/>
        <color theme="1"/>
        <rFont val="ＭＳ Ｐゴシック"/>
        <family val="2"/>
        <charset val="128"/>
        <scheme val="minor"/>
      </rPr>
      <t>粗利</t>
    </r>
    <rPh sb="0" eb="2">
      <t>アラリ</t>
    </rPh>
    <phoneticPr fontId="3"/>
  </si>
  <si>
    <r>
      <rPr>
        <sz val="11"/>
        <color theme="1"/>
        <rFont val="ＭＳ Ｐゴシック"/>
        <family val="2"/>
        <charset val="128"/>
        <scheme val="minor"/>
      </rPr>
      <t>粗利率</t>
    </r>
    <rPh sb="0" eb="2">
      <t>アラリ</t>
    </rPh>
    <rPh sb="2" eb="3">
      <t>リツ</t>
    </rPh>
    <phoneticPr fontId="3"/>
  </si>
  <si>
    <t>交際費</t>
    <rPh sb="0" eb="3">
      <t>コウサイヒ</t>
    </rPh>
    <phoneticPr fontId="6"/>
  </si>
  <si>
    <t>支払利息</t>
    <rPh sb="0" eb="2">
      <t>シハライ</t>
    </rPh>
    <rPh sb="2" eb="4">
      <t>リソク</t>
    </rPh>
    <phoneticPr fontId="3"/>
  </si>
  <si>
    <t>大阪支店 営業第１課</t>
    <rPh sb="0" eb="2">
      <t>オオサカ</t>
    </rPh>
    <rPh sb="2" eb="4">
      <t>シテン</t>
    </rPh>
    <rPh sb="5" eb="7">
      <t>エイギョウ</t>
    </rPh>
    <rPh sb="7" eb="8">
      <t>ダイ</t>
    </rPh>
    <rPh sb="9" eb="10">
      <t>カ</t>
    </rPh>
    <phoneticPr fontId="3"/>
  </si>
  <si>
    <t>大阪支店 営業第２課</t>
    <rPh sb="0" eb="2">
      <t>オオサカ</t>
    </rPh>
    <rPh sb="2" eb="4">
      <t>シテン</t>
    </rPh>
    <rPh sb="5" eb="7">
      <t>エイギョウ</t>
    </rPh>
    <rPh sb="7" eb="8">
      <t>ダイ</t>
    </rPh>
    <rPh sb="9" eb="10">
      <t>カ</t>
    </rPh>
    <phoneticPr fontId="3"/>
  </si>
  <si>
    <t>大阪2
合計</t>
    <rPh sb="0" eb="2">
      <t>オオサカ</t>
    </rPh>
    <rPh sb="4" eb="6">
      <t>ゴウケイ</t>
    </rPh>
    <phoneticPr fontId="6"/>
  </si>
  <si>
    <t>大阪1
合計</t>
    <rPh sb="0" eb="2">
      <t>オオサカ</t>
    </rPh>
    <rPh sb="4" eb="6">
      <t>ゴウケイ</t>
    </rPh>
    <phoneticPr fontId="6"/>
  </si>
  <si>
    <t>７月</t>
  </si>
  <si>
    <t>８月</t>
  </si>
  <si>
    <t>大阪3
合計</t>
    <rPh sb="0" eb="2">
      <t>オオサカ</t>
    </rPh>
    <rPh sb="4" eb="6">
      <t>ゴウケイ</t>
    </rPh>
    <phoneticPr fontId="6"/>
  </si>
  <si>
    <t>福山営業所</t>
    <rPh sb="0" eb="2">
      <t>フクヤマ</t>
    </rPh>
    <rPh sb="2" eb="5">
      <t>エイギョウショ</t>
    </rPh>
    <phoneticPr fontId="3"/>
  </si>
  <si>
    <t>東京（K）</t>
    <rPh sb="0" eb="2">
      <t>トウキョウ</t>
    </rPh>
    <phoneticPr fontId="3"/>
  </si>
  <si>
    <t>K
請負</t>
    <rPh sb="2" eb="4">
      <t>ウケオイ</t>
    </rPh>
    <phoneticPr fontId="3"/>
  </si>
  <si>
    <t>K
派遣</t>
    <rPh sb="2" eb="4">
      <t>ハケン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</si>
</sst>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0.0%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sz val="11"/>
      <name val="Arial"/>
      <family val="2"/>
    </font>
    <font>
      <b/>
      <sz val="14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107">
    <border>
      <left/>
      <right/>
      <top/>
      <bottom/>
      <diagonal/>
    </border>
    <border diagonalUp="1"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ck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rgb="FFFFFF00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rgb="FFFFFF00"/>
      </right>
      <top style="medium">
        <color indexed="64"/>
      </top>
      <bottom style="dotted">
        <color indexed="64"/>
      </bottom>
      <diagonal/>
    </border>
    <border>
      <left style="medium">
        <color rgb="FFFFFF00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FF00"/>
      </right>
      <top style="dotted">
        <color indexed="64"/>
      </top>
      <bottom style="medium">
        <color indexed="64"/>
      </bottom>
      <diagonal/>
    </border>
    <border>
      <left style="medium">
        <color rgb="FFFFFF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FF00"/>
      </right>
      <top style="medium">
        <color indexed="64"/>
      </top>
      <bottom style="medium">
        <color indexed="64"/>
      </bottom>
      <diagonal/>
    </border>
    <border>
      <left style="medium">
        <color rgb="FFFFFF00"/>
      </left>
      <right style="medium">
        <color indexed="64"/>
      </right>
      <top style="medium">
        <color indexed="64"/>
      </top>
      <bottom style="medium">
        <color rgb="FFFFFF00"/>
      </bottom>
      <diagonal/>
    </border>
    <border>
      <left style="medium">
        <color indexed="64"/>
      </left>
      <right style="medium">
        <color rgb="FFFFFF00"/>
      </right>
      <top style="medium">
        <color indexed="64"/>
      </top>
      <bottom style="medium">
        <color rgb="FFFFFF00"/>
      </bottom>
      <diagonal/>
    </border>
    <border>
      <left style="medium">
        <color indexed="64"/>
      </left>
      <right style="medium">
        <color rgb="FF00B050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rgb="FF00B050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B050"/>
      </right>
      <top style="medium">
        <color indexed="64"/>
      </top>
      <bottom style="medium">
        <color indexed="64"/>
      </bottom>
      <diagonal/>
    </border>
    <border>
      <left style="medium">
        <color rgb="FFFFFF00"/>
      </left>
      <right style="medium">
        <color indexed="64"/>
      </right>
      <top style="medium">
        <color indexed="64"/>
      </top>
      <bottom style="medium">
        <color rgb="FF00B050"/>
      </bottom>
      <diagonal/>
    </border>
    <border>
      <left style="medium">
        <color indexed="64"/>
      </left>
      <right style="medium">
        <color rgb="FF00B050"/>
      </right>
      <top style="medium">
        <color indexed="64"/>
      </top>
      <bottom style="medium">
        <color rgb="FF00B05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rgb="FFFFFF00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rgb="FFFFFF00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00"/>
      </right>
      <top style="medium">
        <color indexed="64"/>
      </top>
      <bottom style="medium">
        <color rgb="FFFFFF00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ck">
        <color rgb="FFFFFF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FF00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rgb="FFFFFF00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rgb="FFFFFF00"/>
      </left>
      <right style="medium">
        <color indexed="64"/>
      </right>
      <top style="medium">
        <color indexed="64"/>
      </top>
      <bottom style="thick">
        <color rgb="FFFFFF00"/>
      </bottom>
      <diagonal/>
    </border>
    <border>
      <left style="medium">
        <color indexed="64"/>
      </left>
      <right style="thick">
        <color rgb="FFFFFF00"/>
      </right>
      <top style="medium">
        <color indexed="64"/>
      </top>
      <bottom style="thick">
        <color rgb="FFFFFF00"/>
      </bottom>
      <diagonal/>
    </border>
    <border>
      <left style="thick">
        <color rgb="FFFFFF00"/>
      </left>
      <right style="medium">
        <color indexed="64"/>
      </right>
      <top style="medium">
        <color indexed="64"/>
      </top>
      <bottom style="medium">
        <color rgb="FFFFFF00"/>
      </bottom>
      <diagonal/>
    </border>
    <border>
      <left style="medium">
        <color indexed="64"/>
      </left>
      <right style="thick">
        <color rgb="FF00B050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rgb="FF00B050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00B050"/>
      </right>
      <top style="medium">
        <color indexed="64"/>
      </top>
      <bottom style="medium">
        <color indexed="64"/>
      </bottom>
      <diagonal/>
    </border>
    <border>
      <left style="medium">
        <color rgb="FFFFFF00"/>
      </left>
      <right style="medium">
        <color indexed="64"/>
      </right>
      <top style="medium">
        <color indexed="64"/>
      </top>
      <bottom style="thick">
        <color rgb="FF00B050"/>
      </bottom>
      <diagonal/>
    </border>
    <border>
      <left style="medium">
        <color indexed="64"/>
      </left>
      <right style="thick">
        <color rgb="FF00B050"/>
      </right>
      <top style="medium">
        <color indexed="64"/>
      </top>
      <bottom style="thick">
        <color rgb="FF00B05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5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4" fillId="0" borderId="8" xfId="1" applyFont="1" applyBorder="1" applyAlignment="1">
      <alignment horizontal="distributed" vertical="center"/>
    </xf>
    <xf numFmtId="38" fontId="4" fillId="0" borderId="8" xfId="2" applyFont="1" applyBorder="1" applyAlignment="1" applyProtection="1">
      <alignment vertical="center"/>
      <protection locked="0"/>
    </xf>
    <xf numFmtId="0" fontId="4" fillId="0" borderId="9" xfId="1" applyFont="1" applyBorder="1" applyAlignment="1">
      <alignment horizontal="distributed" vertical="center"/>
    </xf>
    <xf numFmtId="0" fontId="4" fillId="0" borderId="10" xfId="1" applyFont="1" applyBorder="1" applyAlignment="1">
      <alignment horizontal="distributed" vertical="center"/>
    </xf>
    <xf numFmtId="0" fontId="4" fillId="0" borderId="11" xfId="1" applyFont="1" applyBorder="1" applyAlignment="1">
      <alignment horizontal="center" vertical="center"/>
    </xf>
    <xf numFmtId="38" fontId="4" fillId="0" borderId="11" xfId="2" applyFont="1" applyBorder="1" applyAlignment="1">
      <alignment vertical="center"/>
    </xf>
    <xf numFmtId="38" fontId="4" fillId="0" borderId="13" xfId="2" applyFont="1" applyBorder="1" applyAlignment="1">
      <alignment vertical="center"/>
    </xf>
    <xf numFmtId="10" fontId="4" fillId="0" borderId="15" xfId="3" applyNumberFormat="1" applyFont="1" applyBorder="1" applyAlignment="1">
      <alignment vertical="center"/>
    </xf>
    <xf numFmtId="10" fontId="4" fillId="0" borderId="0" xfId="3" applyNumberFormat="1" applyFont="1"/>
    <xf numFmtId="0" fontId="4" fillId="0" borderId="16" xfId="1" applyFont="1" applyBorder="1" applyAlignment="1">
      <alignment horizontal="center" vertical="center"/>
    </xf>
    <xf numFmtId="176" fontId="4" fillId="0" borderId="16" xfId="2" applyNumberFormat="1" applyFont="1" applyBorder="1" applyAlignment="1">
      <alignment vertical="center"/>
    </xf>
    <xf numFmtId="38" fontId="4" fillId="0" borderId="16" xfId="2" applyFont="1" applyBorder="1" applyAlignment="1">
      <alignment vertical="center"/>
    </xf>
    <xf numFmtId="38" fontId="4" fillId="0" borderId="3" xfId="2" applyFont="1" applyBorder="1" applyAlignment="1">
      <alignment vertical="center"/>
    </xf>
    <xf numFmtId="10" fontId="4" fillId="0" borderId="0" xfId="3" applyNumberFormat="1" applyFont="1" applyAlignment="1">
      <alignment horizontal="right"/>
    </xf>
    <xf numFmtId="38" fontId="4" fillId="0" borderId="3" xfId="2" applyFont="1" applyBorder="1" applyAlignment="1" applyProtection="1">
      <alignment vertical="center"/>
      <protection locked="0"/>
    </xf>
    <xf numFmtId="38" fontId="4" fillId="0" borderId="0" xfId="2" applyFont="1" applyAlignment="1">
      <alignment horizontal="right"/>
    </xf>
    <xf numFmtId="38" fontId="4" fillId="0" borderId="3" xfId="2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distributed" vertical="center"/>
    </xf>
    <xf numFmtId="0" fontId="4" fillId="0" borderId="2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vertical="center"/>
    </xf>
    <xf numFmtId="0" fontId="4" fillId="0" borderId="25" xfId="1" applyFont="1" applyBorder="1" applyAlignment="1">
      <alignment horizontal="distributed" vertical="center"/>
    </xf>
    <xf numFmtId="38" fontId="4" fillId="0" borderId="26" xfId="2" applyFont="1" applyBorder="1" applyAlignment="1" applyProtection="1">
      <alignment vertical="center"/>
      <protection locked="0"/>
    </xf>
    <xf numFmtId="0" fontId="4" fillId="0" borderId="13" xfId="1" applyFont="1" applyBorder="1" applyAlignment="1">
      <alignment horizontal="distributed" vertical="center"/>
    </xf>
    <xf numFmtId="0" fontId="4" fillId="2" borderId="6" xfId="1" applyFont="1" applyFill="1" applyBorder="1" applyAlignment="1">
      <alignment horizontal="center" vertical="center"/>
    </xf>
    <xf numFmtId="38" fontId="4" fillId="2" borderId="6" xfId="2" applyFont="1" applyFill="1" applyBorder="1" applyAlignment="1" applyProtection="1">
      <alignment vertical="center"/>
      <protection locked="0"/>
    </xf>
    <xf numFmtId="38" fontId="4" fillId="2" borderId="13" xfId="2" applyFont="1" applyFill="1" applyBorder="1" applyAlignment="1" applyProtection="1">
      <alignment vertical="center"/>
      <protection locked="0"/>
    </xf>
    <xf numFmtId="38" fontId="4" fillId="2" borderId="9" xfId="2" applyFont="1" applyFill="1" applyBorder="1" applyAlignment="1" applyProtection="1">
      <alignment vertical="center"/>
      <protection locked="0"/>
    </xf>
    <xf numFmtId="38" fontId="4" fillId="2" borderId="8" xfId="2" applyFont="1" applyFill="1" applyBorder="1" applyAlignment="1" applyProtection="1">
      <alignment vertical="center"/>
      <protection locked="0"/>
    </xf>
    <xf numFmtId="38" fontId="4" fillId="2" borderId="26" xfId="2" applyFont="1" applyFill="1" applyBorder="1" applyAlignment="1" applyProtection="1">
      <alignment vertical="center"/>
      <protection locked="0"/>
    </xf>
    <xf numFmtId="38" fontId="4" fillId="2" borderId="11" xfId="2" applyFont="1" applyFill="1" applyBorder="1" applyAlignment="1">
      <alignment vertical="center"/>
    </xf>
    <xf numFmtId="38" fontId="4" fillId="2" borderId="13" xfId="2" applyFont="1" applyFill="1" applyBorder="1" applyAlignment="1">
      <alignment vertical="center"/>
    </xf>
    <xf numFmtId="10" fontId="4" fillId="2" borderId="15" xfId="3" applyNumberFormat="1" applyFont="1" applyFill="1" applyBorder="1" applyAlignment="1">
      <alignment vertical="center"/>
    </xf>
    <xf numFmtId="176" fontId="4" fillId="2" borderId="16" xfId="2" applyNumberFormat="1" applyFont="1" applyFill="1" applyBorder="1" applyAlignment="1">
      <alignment vertical="center"/>
    </xf>
    <xf numFmtId="38" fontId="4" fillId="2" borderId="16" xfId="2" applyFont="1" applyFill="1" applyBorder="1" applyAlignment="1">
      <alignment vertical="center"/>
    </xf>
    <xf numFmtId="38" fontId="4" fillId="2" borderId="3" xfId="2" applyFont="1" applyFill="1" applyBorder="1" applyAlignment="1">
      <alignment vertical="center"/>
    </xf>
    <xf numFmtId="38" fontId="4" fillId="2" borderId="3" xfId="2" applyFont="1" applyFill="1" applyBorder="1" applyAlignment="1" applyProtection="1">
      <alignment vertical="center"/>
      <protection locked="0"/>
    </xf>
    <xf numFmtId="38" fontId="4" fillId="2" borderId="3" xfId="2" applyFont="1" applyFill="1" applyBorder="1" applyAlignment="1">
      <alignment horizontal="right" vertical="center"/>
    </xf>
    <xf numFmtId="38" fontId="4" fillId="2" borderId="22" xfId="2" applyFont="1" applyFill="1" applyBorder="1" applyAlignment="1" applyProtection="1">
      <alignment vertical="center"/>
      <protection locked="0"/>
    </xf>
    <xf numFmtId="0" fontId="4" fillId="0" borderId="30" xfId="1" applyFont="1" applyBorder="1" applyAlignment="1">
      <alignment horizontal="center" vertical="center"/>
    </xf>
    <xf numFmtId="38" fontId="4" fillId="0" borderId="33" xfId="2" applyFont="1" applyBorder="1" applyAlignment="1" applyProtection="1">
      <alignment vertical="center"/>
      <protection locked="0"/>
    </xf>
    <xf numFmtId="38" fontId="4" fillId="0" borderId="34" xfId="2" applyFont="1" applyBorder="1" applyAlignment="1" applyProtection="1">
      <alignment vertical="center"/>
      <protection locked="0"/>
    </xf>
    <xf numFmtId="38" fontId="4" fillId="0" borderId="35" xfId="2" applyFont="1" applyBorder="1" applyAlignment="1">
      <alignment vertical="center"/>
    </xf>
    <xf numFmtId="38" fontId="4" fillId="0" borderId="31" xfId="2" applyFont="1" applyBorder="1" applyAlignment="1">
      <alignment vertical="center"/>
    </xf>
    <xf numFmtId="10" fontId="4" fillId="0" borderId="36" xfId="3" applyNumberFormat="1" applyFont="1" applyBorder="1" applyAlignment="1">
      <alignment vertical="center"/>
    </xf>
    <xf numFmtId="176" fontId="4" fillId="0" borderId="37" xfId="2" applyNumberFormat="1" applyFont="1" applyBorder="1" applyAlignment="1">
      <alignment vertical="center"/>
    </xf>
    <xf numFmtId="38" fontId="4" fillId="0" borderId="37" xfId="2" applyFont="1" applyBorder="1" applyAlignment="1">
      <alignment vertical="center"/>
    </xf>
    <xf numFmtId="38" fontId="4" fillId="0" borderId="38" xfId="2" applyFont="1" applyBorder="1" applyAlignment="1">
      <alignment vertical="center"/>
    </xf>
    <xf numFmtId="38" fontId="4" fillId="0" borderId="38" xfId="2" applyFont="1" applyBorder="1" applyAlignment="1" applyProtection="1">
      <alignment vertical="center"/>
      <protection locked="0"/>
    </xf>
    <xf numFmtId="38" fontId="4" fillId="0" borderId="38" xfId="2" applyFont="1" applyBorder="1" applyAlignment="1">
      <alignment horizontal="right" vertical="center"/>
    </xf>
    <xf numFmtId="0" fontId="4" fillId="2" borderId="39" xfId="1" applyFont="1" applyFill="1" applyBorder="1" applyAlignment="1">
      <alignment horizontal="center" vertical="center"/>
    </xf>
    <xf numFmtId="38" fontId="4" fillId="2" borderId="39" xfId="2" applyFont="1" applyFill="1" applyBorder="1" applyAlignment="1" applyProtection="1">
      <alignment vertical="center"/>
      <protection locked="0"/>
    </xf>
    <xf numFmtId="38" fontId="4" fillId="2" borderId="40" xfId="2" applyFont="1" applyFill="1" applyBorder="1" applyAlignment="1" applyProtection="1">
      <alignment vertical="center"/>
      <protection locked="0"/>
    </xf>
    <xf numFmtId="38" fontId="4" fillId="2" borderId="41" xfId="2" applyFont="1" applyFill="1" applyBorder="1" applyAlignment="1" applyProtection="1">
      <alignment vertical="center"/>
      <protection locked="0"/>
    </xf>
    <xf numFmtId="38" fontId="4" fillId="2" borderId="42" xfId="2" applyFont="1" applyFill="1" applyBorder="1" applyAlignment="1" applyProtection="1">
      <alignment vertical="center"/>
      <protection locked="0"/>
    </xf>
    <xf numFmtId="38" fontId="4" fillId="2" borderId="43" xfId="2" applyFont="1" applyFill="1" applyBorder="1" applyAlignment="1" applyProtection="1">
      <alignment vertical="center"/>
      <protection locked="0"/>
    </xf>
    <xf numFmtId="38" fontId="4" fillId="2" borderId="44" xfId="2" applyFont="1" applyFill="1" applyBorder="1" applyAlignment="1">
      <alignment vertical="center"/>
    </xf>
    <xf numFmtId="38" fontId="4" fillId="2" borderId="40" xfId="2" applyFont="1" applyFill="1" applyBorder="1" applyAlignment="1">
      <alignment vertical="center"/>
    </xf>
    <xf numFmtId="10" fontId="4" fillId="2" borderId="45" xfId="3" applyNumberFormat="1" applyFont="1" applyFill="1" applyBorder="1" applyAlignment="1">
      <alignment vertical="center"/>
    </xf>
    <xf numFmtId="176" fontId="4" fillId="2" borderId="46" xfId="2" applyNumberFormat="1" applyFont="1" applyFill="1" applyBorder="1" applyAlignment="1">
      <alignment vertical="center"/>
    </xf>
    <xf numFmtId="38" fontId="4" fillId="2" borderId="46" xfId="2" applyFont="1" applyFill="1" applyBorder="1" applyAlignment="1">
      <alignment vertical="center"/>
    </xf>
    <xf numFmtId="38" fontId="4" fillId="2" borderId="19" xfId="2" applyFont="1" applyFill="1" applyBorder="1" applyAlignment="1">
      <alignment vertical="center"/>
    </xf>
    <xf numFmtId="38" fontId="4" fillId="2" borderId="19" xfId="2" applyFont="1" applyFill="1" applyBorder="1" applyAlignment="1" applyProtection="1">
      <alignment vertical="center"/>
      <protection locked="0"/>
    </xf>
    <xf numFmtId="38" fontId="4" fillId="2" borderId="19" xfId="2" applyFont="1" applyFill="1" applyBorder="1" applyAlignment="1">
      <alignment horizontal="right" vertical="center"/>
    </xf>
    <xf numFmtId="38" fontId="4" fillId="2" borderId="47" xfId="2" applyFont="1" applyFill="1" applyBorder="1" applyAlignment="1">
      <alignment vertical="center"/>
    </xf>
    <xf numFmtId="38" fontId="4" fillId="0" borderId="48" xfId="2" applyFont="1" applyBorder="1" applyAlignment="1">
      <alignment vertical="center"/>
    </xf>
    <xf numFmtId="10" fontId="4" fillId="2" borderId="49" xfId="3" applyNumberFormat="1" applyFont="1" applyFill="1" applyBorder="1" applyAlignment="1">
      <alignment vertical="center"/>
    </xf>
    <xf numFmtId="10" fontId="4" fillId="0" borderId="50" xfId="3" applyNumberFormat="1" applyFont="1" applyBorder="1" applyAlignment="1">
      <alignment vertical="center"/>
    </xf>
    <xf numFmtId="38" fontId="4" fillId="2" borderId="51" xfId="2" applyFont="1" applyFill="1" applyBorder="1" applyAlignment="1">
      <alignment vertical="center"/>
    </xf>
    <xf numFmtId="38" fontId="4" fillId="0" borderId="52" xfId="2" applyFont="1" applyBorder="1" applyAlignment="1">
      <alignment vertical="center"/>
    </xf>
    <xf numFmtId="38" fontId="4" fillId="0" borderId="55" xfId="2" applyFont="1" applyBorder="1" applyAlignment="1">
      <alignment vertical="center"/>
    </xf>
    <xf numFmtId="10" fontId="4" fillId="0" borderId="56" xfId="3" applyNumberFormat="1" applyFont="1" applyBorder="1" applyAlignment="1">
      <alignment vertical="center"/>
    </xf>
    <xf numFmtId="38" fontId="4" fillId="0" borderId="57" xfId="2" applyFont="1" applyBorder="1" applyAlignment="1">
      <alignment vertical="center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0" fillId="0" borderId="67" xfId="0" applyBorder="1">
      <alignment vertical="center"/>
    </xf>
    <xf numFmtId="0" fontId="0" fillId="0" borderId="68" xfId="0" applyBorder="1">
      <alignment vertical="center"/>
    </xf>
    <xf numFmtId="0" fontId="0" fillId="6" borderId="60" xfId="0" applyFill="1" applyBorder="1">
      <alignment vertical="center"/>
    </xf>
    <xf numFmtId="0" fontId="0" fillId="6" borderId="61" xfId="0" applyFill="1" applyBorder="1">
      <alignment vertical="center"/>
    </xf>
    <xf numFmtId="0" fontId="0" fillId="6" borderId="62" xfId="0" applyFill="1" applyBorder="1">
      <alignment vertical="center"/>
    </xf>
    <xf numFmtId="0" fontId="0" fillId="0" borderId="0" xfId="0" applyAlignment="1">
      <alignment horizontal="right" vertical="center"/>
    </xf>
    <xf numFmtId="38" fontId="4" fillId="0" borderId="72" xfId="2" applyFont="1" applyBorder="1" applyAlignment="1" applyProtection="1">
      <alignment vertical="center"/>
      <protection locked="0"/>
    </xf>
    <xf numFmtId="38" fontId="4" fillId="2" borderId="73" xfId="2" applyFont="1" applyFill="1" applyBorder="1" applyAlignment="1" applyProtection="1">
      <alignment vertical="center"/>
      <protection locked="0"/>
    </xf>
    <xf numFmtId="0" fontId="0" fillId="0" borderId="66" xfId="0" applyBorder="1" applyAlignment="1">
      <alignment vertical="center" wrapText="1"/>
    </xf>
    <xf numFmtId="0" fontId="4" fillId="0" borderId="1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1" fillId="0" borderId="0" xfId="1"/>
    <xf numFmtId="0" fontId="7" fillId="0" borderId="74" xfId="1" applyFont="1" applyBorder="1" applyAlignment="1">
      <alignment horizontal="center"/>
    </xf>
    <xf numFmtId="0" fontId="1" fillId="0" borderId="60" xfId="1" applyBorder="1" applyAlignment="1">
      <alignment horizontal="center" vertical="center" shrinkToFit="1"/>
    </xf>
    <xf numFmtId="0" fontId="1" fillId="0" borderId="61" xfId="1" applyBorder="1" applyAlignment="1">
      <alignment horizontal="distributed" vertical="center"/>
    </xf>
    <xf numFmtId="0" fontId="1" fillId="0" borderId="61" xfId="1" applyBorder="1" applyAlignment="1">
      <alignment horizontal="center" vertical="center"/>
    </xf>
    <xf numFmtId="0" fontId="1" fillId="0" borderId="75" xfId="1" applyBorder="1" applyAlignment="1">
      <alignment horizontal="distributed" vertical="center"/>
    </xf>
    <xf numFmtId="38" fontId="1" fillId="0" borderId="75" xfId="2" applyBorder="1" applyAlignment="1">
      <alignment vertical="center"/>
    </xf>
    <xf numFmtId="38" fontId="1" fillId="0" borderId="76" xfId="2" applyBorder="1" applyAlignment="1">
      <alignment vertical="center"/>
    </xf>
    <xf numFmtId="0" fontId="1" fillId="0" borderId="77" xfId="1" applyBorder="1" applyAlignment="1">
      <alignment horizontal="distributed" vertical="center"/>
    </xf>
    <xf numFmtId="38" fontId="1" fillId="0" borderId="77" xfId="2" applyBorder="1" applyAlignment="1">
      <alignment vertical="center"/>
    </xf>
    <xf numFmtId="38" fontId="1" fillId="0" borderId="77" xfId="2" applyBorder="1" applyAlignment="1">
      <alignment horizontal="right" vertical="center"/>
    </xf>
    <xf numFmtId="38" fontId="1" fillId="0" borderId="78" xfId="2" applyBorder="1" applyAlignment="1">
      <alignment vertical="center"/>
    </xf>
    <xf numFmtId="0" fontId="1" fillId="0" borderId="78" xfId="1" applyBorder="1" applyAlignment="1">
      <alignment vertical="center"/>
    </xf>
    <xf numFmtId="0" fontId="1" fillId="0" borderId="79" xfId="1" applyBorder="1" applyAlignment="1">
      <alignment horizontal="distributed" vertical="center"/>
    </xf>
    <xf numFmtId="38" fontId="1" fillId="0" borderId="79" xfId="2" applyBorder="1" applyAlignment="1">
      <alignment vertical="center"/>
    </xf>
    <xf numFmtId="0" fontId="1" fillId="0" borderId="80" xfId="1" applyBorder="1" applyAlignment="1">
      <alignment horizontal="distributed" vertical="center"/>
    </xf>
    <xf numFmtId="177" fontId="1" fillId="0" borderId="80" xfId="3" applyNumberFormat="1" applyBorder="1" applyAlignment="1">
      <alignment horizontal="right" vertical="center"/>
    </xf>
    <xf numFmtId="0" fontId="1" fillId="0" borderId="78" xfId="1" applyBorder="1" applyAlignment="1">
      <alignment horizontal="distributed" vertical="center"/>
    </xf>
    <xf numFmtId="38" fontId="1" fillId="0" borderId="0" xfId="1" applyNumberFormat="1"/>
    <xf numFmtId="38" fontId="4" fillId="0" borderId="6" xfId="2" applyFont="1" applyBorder="1" applyAlignment="1">
      <alignment vertical="center"/>
    </xf>
    <xf numFmtId="38" fontId="4" fillId="0" borderId="9" xfId="2" applyFont="1" applyBorder="1" applyAlignment="1">
      <alignment vertical="center"/>
    </xf>
    <xf numFmtId="38" fontId="4" fillId="0" borderId="8" xfId="2" applyFont="1" applyBorder="1" applyAlignment="1">
      <alignment vertical="center"/>
    </xf>
    <xf numFmtId="38" fontId="4" fillId="0" borderId="26" xfId="2" applyFont="1" applyBorder="1" applyAlignment="1">
      <alignment vertical="center"/>
    </xf>
    <xf numFmtId="38" fontId="4" fillId="0" borderId="30" xfId="2" applyFont="1" applyBorder="1" applyAlignment="1">
      <alignment vertical="center"/>
    </xf>
    <xf numFmtId="38" fontId="4" fillId="0" borderId="32" xfId="2" applyFont="1" applyBorder="1" applyAlignment="1">
      <alignment vertical="center"/>
    </xf>
    <xf numFmtId="38" fontId="4" fillId="0" borderId="33" xfId="2" applyFont="1" applyBorder="1" applyAlignment="1">
      <alignment vertical="center"/>
    </xf>
    <xf numFmtId="38" fontId="4" fillId="0" borderId="34" xfId="2" applyFont="1" applyBorder="1" applyAlignment="1">
      <alignment vertical="center"/>
    </xf>
    <xf numFmtId="38" fontId="4" fillId="2" borderId="53" xfId="2" applyFont="1" applyFill="1" applyBorder="1" applyAlignment="1">
      <alignment horizontal="center" vertical="center"/>
    </xf>
    <xf numFmtId="38" fontId="4" fillId="0" borderId="54" xfId="2" applyFont="1" applyBorder="1" applyAlignment="1">
      <alignment horizontal="center" vertical="center"/>
    </xf>
    <xf numFmtId="38" fontId="4" fillId="2" borderId="58" xfId="2" applyFont="1" applyFill="1" applyBorder="1" applyAlignment="1">
      <alignment horizontal="center" vertical="center"/>
    </xf>
    <xf numFmtId="38" fontId="4" fillId="0" borderId="59" xfId="2" applyFont="1" applyBorder="1" applyAlignment="1">
      <alignment horizontal="center" vertical="center"/>
    </xf>
    <xf numFmtId="38" fontId="4" fillId="2" borderId="39" xfId="2" applyFont="1" applyFill="1" applyBorder="1" applyAlignment="1">
      <alignment vertical="center"/>
    </xf>
    <xf numFmtId="38" fontId="4" fillId="2" borderId="41" xfId="2" applyFont="1" applyFill="1" applyBorder="1" applyAlignment="1">
      <alignment vertical="center"/>
    </xf>
    <xf numFmtId="38" fontId="4" fillId="2" borderId="42" xfId="2" applyFont="1" applyFill="1" applyBorder="1" applyAlignment="1">
      <alignment vertical="center"/>
    </xf>
    <xf numFmtId="38" fontId="4" fillId="2" borderId="43" xfId="2" applyFont="1" applyFill="1" applyBorder="1" applyAlignment="1">
      <alignment vertical="center"/>
    </xf>
    <xf numFmtId="38" fontId="4" fillId="2" borderId="19" xfId="2" applyFont="1" applyFill="1" applyBorder="1" applyAlignment="1">
      <alignment horizontal="center" vertical="center"/>
    </xf>
    <xf numFmtId="38" fontId="4" fillId="0" borderId="3" xfId="2" applyFont="1" applyBorder="1" applyAlignment="1">
      <alignment horizontal="center" vertical="center"/>
    </xf>
    <xf numFmtId="38" fontId="4" fillId="0" borderId="81" xfId="2" applyFont="1" applyBorder="1" applyAlignment="1">
      <alignment vertical="center"/>
    </xf>
    <xf numFmtId="10" fontId="4" fillId="0" borderId="82" xfId="3" applyNumberFormat="1" applyFont="1" applyBorder="1" applyAlignment="1">
      <alignment vertical="center"/>
    </xf>
    <xf numFmtId="38" fontId="4" fillId="0" borderId="83" xfId="2" applyFont="1" applyBorder="1" applyAlignment="1">
      <alignment vertical="center"/>
    </xf>
    <xf numFmtId="38" fontId="4" fillId="0" borderId="84" xfId="2" applyFont="1" applyBorder="1" applyAlignment="1">
      <alignment horizontal="center" vertical="center"/>
    </xf>
    <xf numFmtId="38" fontId="4" fillId="0" borderId="85" xfId="2" applyFont="1" applyBorder="1" applyAlignment="1" applyProtection="1">
      <alignment vertical="center"/>
      <protection locked="0"/>
    </xf>
    <xf numFmtId="38" fontId="4" fillId="2" borderId="86" xfId="2" applyFont="1" applyFill="1" applyBorder="1" applyAlignment="1">
      <alignment vertical="center"/>
    </xf>
    <xf numFmtId="38" fontId="4" fillId="2" borderId="87" xfId="2" applyFont="1" applyFill="1" applyBorder="1" applyAlignment="1">
      <alignment vertical="center"/>
    </xf>
    <xf numFmtId="10" fontId="4" fillId="2" borderId="88" xfId="3" applyNumberFormat="1" applyFont="1" applyFill="1" applyBorder="1" applyAlignment="1">
      <alignment vertical="center"/>
    </xf>
    <xf numFmtId="38" fontId="4" fillId="2" borderId="89" xfId="2" applyFont="1" applyFill="1" applyBorder="1" applyAlignment="1">
      <alignment horizontal="center" vertical="center"/>
    </xf>
    <xf numFmtId="38" fontId="4" fillId="0" borderId="90" xfId="2" applyFont="1" applyBorder="1" applyAlignment="1">
      <alignment horizontal="center" vertical="center"/>
    </xf>
    <xf numFmtId="38" fontId="4" fillId="2" borderId="91" xfId="2" applyFont="1" applyFill="1" applyBorder="1" applyAlignment="1">
      <alignment horizontal="center" vertical="center"/>
    </xf>
    <xf numFmtId="38" fontId="4" fillId="0" borderId="92" xfId="2" applyFont="1" applyBorder="1" applyAlignment="1">
      <alignment vertical="center"/>
    </xf>
    <xf numFmtId="10" fontId="4" fillId="0" borderId="93" xfId="3" applyNumberFormat="1" applyFont="1" applyBorder="1" applyAlignment="1">
      <alignment vertical="center"/>
    </xf>
    <xf numFmtId="38" fontId="4" fillId="0" borderId="94" xfId="2" applyFont="1" applyBorder="1" applyAlignment="1">
      <alignment vertical="center"/>
    </xf>
    <xf numFmtId="38" fontId="4" fillId="2" borderId="95" xfId="2" applyFont="1" applyFill="1" applyBorder="1" applyAlignment="1">
      <alignment horizontal="center" vertical="center"/>
    </xf>
    <xf numFmtId="38" fontId="4" fillId="0" borderId="96" xfId="2" applyFont="1" applyBorder="1" applyAlignment="1">
      <alignment horizontal="center" vertical="center"/>
    </xf>
    <xf numFmtId="38" fontId="4" fillId="2" borderId="6" xfId="2" applyFont="1" applyFill="1" applyBorder="1" applyAlignment="1">
      <alignment vertical="center"/>
    </xf>
    <xf numFmtId="38" fontId="4" fillId="2" borderId="9" xfId="2" applyFont="1" applyFill="1" applyBorder="1" applyAlignment="1">
      <alignment vertical="center"/>
    </xf>
    <xf numFmtId="38" fontId="4" fillId="2" borderId="8" xfId="2" applyFont="1" applyFill="1" applyBorder="1" applyAlignment="1">
      <alignment vertical="center"/>
    </xf>
    <xf numFmtId="38" fontId="4" fillId="2" borderId="26" xfId="2" applyFont="1" applyFill="1" applyBorder="1" applyAlignment="1">
      <alignment vertical="center"/>
    </xf>
    <xf numFmtId="38" fontId="4" fillId="0" borderId="72" xfId="2" applyFont="1" applyBorder="1" applyAlignment="1">
      <alignment vertical="center"/>
    </xf>
    <xf numFmtId="178" fontId="4" fillId="2" borderId="8" xfId="2" applyNumberFormat="1" applyFont="1" applyFill="1" applyBorder="1" applyAlignment="1" applyProtection="1">
      <alignment vertical="center"/>
      <protection locked="0"/>
    </xf>
    <xf numFmtId="178" fontId="4" fillId="2" borderId="42" xfId="2" applyNumberFormat="1" applyFont="1" applyFill="1" applyBorder="1" applyAlignment="1" applyProtection="1">
      <alignment vertical="center"/>
      <protection locked="0"/>
    </xf>
    <xf numFmtId="178" fontId="4" fillId="2" borderId="42" xfId="2" applyNumberFormat="1" applyFont="1" applyFill="1" applyBorder="1" applyAlignment="1">
      <alignment vertical="center"/>
    </xf>
    <xf numFmtId="38" fontId="4" fillId="2" borderId="21" xfId="2" applyFont="1" applyFill="1" applyBorder="1" applyAlignment="1">
      <alignment vertical="center"/>
    </xf>
    <xf numFmtId="38" fontId="4" fillId="0" borderId="21" xfId="2" applyFont="1" applyBorder="1" applyAlignment="1">
      <alignment vertical="center"/>
    </xf>
    <xf numFmtId="38" fontId="4" fillId="2" borderId="97" xfId="2" applyFont="1" applyFill="1" applyBorder="1" applyAlignment="1">
      <alignment vertical="center"/>
    </xf>
    <xf numFmtId="0" fontId="4" fillId="0" borderId="98" xfId="1" applyFont="1" applyBorder="1" applyAlignment="1">
      <alignment horizontal="center" vertical="center"/>
    </xf>
    <xf numFmtId="38" fontId="4" fillId="2" borderId="98" xfId="2" applyFont="1" applyFill="1" applyBorder="1" applyAlignment="1">
      <alignment vertical="center"/>
    </xf>
    <xf numFmtId="38" fontId="4" fillId="0" borderId="98" xfId="2" applyFont="1" applyBorder="1" applyAlignment="1">
      <alignment vertical="center"/>
    </xf>
    <xf numFmtId="38" fontId="4" fillId="2" borderId="99" xfId="2" applyFont="1" applyFill="1" applyBorder="1" applyAlignment="1">
      <alignment vertical="center"/>
    </xf>
    <xf numFmtId="0" fontId="1" fillId="0" borderId="75" xfId="0" applyFont="1" applyBorder="1" applyAlignment="1">
      <alignment horizontal="distributed" vertical="center"/>
    </xf>
    <xf numFmtId="0" fontId="0" fillId="0" borderId="0" xfId="0" applyAlignment="1"/>
    <xf numFmtId="0" fontId="1" fillId="0" borderId="77" xfId="0" applyFont="1" applyBorder="1" applyAlignment="1">
      <alignment horizontal="distributed" vertical="center"/>
    </xf>
    <xf numFmtId="0" fontId="0" fillId="0" borderId="77" xfId="0" applyBorder="1" applyAlignment="1">
      <alignment horizontal="distributed" vertical="center"/>
    </xf>
    <xf numFmtId="0" fontId="1" fillId="0" borderId="78" xfId="0" applyFont="1" applyBorder="1">
      <alignment vertical="center"/>
    </xf>
    <xf numFmtId="0" fontId="1" fillId="0" borderId="79" xfId="0" applyFont="1" applyBorder="1" applyAlignment="1">
      <alignment horizontal="distributed" vertical="center"/>
    </xf>
    <xf numFmtId="0" fontId="1" fillId="0" borderId="80" xfId="0" applyFont="1" applyBorder="1" applyAlignment="1">
      <alignment horizontal="distributed" vertical="center"/>
    </xf>
    <xf numFmtId="0" fontId="1" fillId="0" borderId="78" xfId="0" applyFont="1" applyBorder="1" applyAlignment="1">
      <alignment horizontal="distributed" vertical="center"/>
    </xf>
    <xf numFmtId="0" fontId="7" fillId="0" borderId="74" xfId="0" applyFont="1" applyBorder="1" applyAlignment="1">
      <alignment horizontal="center"/>
    </xf>
    <xf numFmtId="0" fontId="1" fillId="0" borderId="60" xfId="0" applyFont="1" applyBorder="1" applyAlignment="1">
      <alignment horizontal="center" vertical="center" shrinkToFit="1"/>
    </xf>
    <xf numFmtId="0" fontId="1" fillId="0" borderId="61" xfId="0" applyFont="1" applyBorder="1" applyAlignment="1">
      <alignment horizontal="distributed" vertical="center"/>
    </xf>
    <xf numFmtId="0" fontId="1" fillId="0" borderId="61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78" xfId="0" applyBorder="1" applyAlignment="1">
      <alignment horizontal="distributed" vertical="center"/>
    </xf>
    <xf numFmtId="0" fontId="0" fillId="0" borderId="75" xfId="0" applyBorder="1" applyAlignment="1">
      <alignment horizontal="distributed" vertical="center"/>
    </xf>
    <xf numFmtId="38" fontId="0" fillId="0" borderId="0" xfId="0" applyNumberFormat="1" applyAlignment="1"/>
    <xf numFmtId="38" fontId="4" fillId="2" borderId="51" xfId="2" applyFont="1" applyFill="1" applyBorder="1" applyAlignment="1">
      <alignment horizontal="center" vertical="center"/>
    </xf>
    <xf numFmtId="38" fontId="4" fillId="0" borderId="57" xfId="2" applyFont="1" applyBorder="1" applyAlignment="1">
      <alignment horizontal="center" vertical="center"/>
    </xf>
    <xf numFmtId="38" fontId="4" fillId="0" borderId="25" xfId="2" applyFont="1" applyBorder="1" applyAlignment="1">
      <alignment vertical="center"/>
    </xf>
    <xf numFmtId="0" fontId="4" fillId="0" borderId="100" xfId="1" applyFont="1" applyBorder="1" applyAlignment="1">
      <alignment horizontal="center" vertical="center"/>
    </xf>
    <xf numFmtId="38" fontId="4" fillId="2" borderId="33" xfId="2" applyFont="1" applyFill="1" applyBorder="1" applyAlignment="1">
      <alignment vertical="center"/>
    </xf>
    <xf numFmtId="38" fontId="4" fillId="2" borderId="34" xfId="2" applyFont="1" applyFill="1" applyBorder="1" applyAlignment="1">
      <alignment vertical="center"/>
    </xf>
    <xf numFmtId="38" fontId="4" fillId="2" borderId="33" xfId="2" applyFont="1" applyFill="1" applyBorder="1" applyAlignment="1" applyProtection="1">
      <alignment vertical="center"/>
      <protection locked="0"/>
    </xf>
    <xf numFmtId="38" fontId="4" fillId="2" borderId="34" xfId="2" applyFont="1" applyFill="1" applyBorder="1" applyAlignment="1" applyProtection="1">
      <alignment vertical="center"/>
      <protection locked="0"/>
    </xf>
    <xf numFmtId="38" fontId="4" fillId="2" borderId="21" xfId="2" applyFont="1" applyFill="1" applyBorder="1" applyAlignment="1" applyProtection="1">
      <alignment vertical="center"/>
      <protection locked="0"/>
    </xf>
    <xf numFmtId="38" fontId="4" fillId="0" borderId="21" xfId="2" applyFont="1" applyBorder="1" applyAlignment="1" applyProtection="1">
      <alignment vertical="center"/>
      <protection locked="0"/>
    </xf>
    <xf numFmtId="38" fontId="4" fillId="2" borderId="97" xfId="2" applyFont="1" applyFill="1" applyBorder="1" applyAlignment="1" applyProtection="1">
      <alignment vertical="center"/>
      <protection locked="0"/>
    </xf>
    <xf numFmtId="0" fontId="4" fillId="0" borderId="101" xfId="1" applyFont="1" applyBorder="1" applyAlignment="1">
      <alignment horizontal="center" vertical="center"/>
    </xf>
    <xf numFmtId="38" fontId="4" fillId="2" borderId="102" xfId="2" applyFont="1" applyFill="1" applyBorder="1" applyAlignment="1" applyProtection="1">
      <alignment vertical="center"/>
      <protection locked="0"/>
    </xf>
    <xf numFmtId="38" fontId="4" fillId="0" borderId="102" xfId="2" applyFont="1" applyBorder="1" applyAlignment="1" applyProtection="1">
      <alignment vertical="center"/>
      <protection locked="0"/>
    </xf>
    <xf numFmtId="38" fontId="4" fillId="2" borderId="103" xfId="2" applyFont="1" applyFill="1" applyBorder="1" applyAlignment="1">
      <alignment vertical="center"/>
    </xf>
    <xf numFmtId="38" fontId="4" fillId="2" borderId="103" xfId="2" applyFont="1" applyFill="1" applyBorder="1" applyAlignment="1" applyProtection="1">
      <alignment vertical="center"/>
      <protection locked="0"/>
    </xf>
    <xf numFmtId="38" fontId="4" fillId="0" borderId="102" xfId="2" applyFont="1" applyBorder="1" applyAlignment="1">
      <alignment vertical="center"/>
    </xf>
    <xf numFmtId="178" fontId="4" fillId="2" borderId="8" xfId="2" applyNumberFormat="1" applyFont="1" applyFill="1" applyBorder="1" applyAlignment="1">
      <alignment vertical="center"/>
    </xf>
    <xf numFmtId="38" fontId="4" fillId="2" borderId="102" xfId="2" applyFont="1" applyFill="1" applyBorder="1" applyAlignment="1">
      <alignment vertical="center"/>
    </xf>
    <xf numFmtId="38" fontId="4" fillId="9" borderId="13" xfId="2" applyFont="1" applyFill="1" applyBorder="1" applyAlignment="1">
      <alignment vertical="center"/>
    </xf>
    <xf numFmtId="0" fontId="4" fillId="2" borderId="100" xfId="1" applyFont="1" applyFill="1" applyBorder="1" applyAlignment="1">
      <alignment horizontal="center" vertical="center"/>
    </xf>
    <xf numFmtId="38" fontId="4" fillId="2" borderId="106" xfId="2" applyFont="1" applyFill="1" applyBorder="1" applyAlignment="1">
      <alignment vertical="center"/>
    </xf>
    <xf numFmtId="177" fontId="8" fillId="0" borderId="80" xfId="3" applyNumberFormat="1" applyFont="1" applyBorder="1" applyAlignment="1">
      <alignment horizontal="right" vertical="center"/>
    </xf>
    <xf numFmtId="38" fontId="8" fillId="0" borderId="79" xfId="2" applyFont="1" applyBorder="1" applyAlignment="1">
      <alignment vertical="center"/>
    </xf>
    <xf numFmtId="38" fontId="8" fillId="0" borderId="78" xfId="2" applyFont="1" applyBorder="1" applyAlignment="1">
      <alignment vertical="center"/>
    </xf>
    <xf numFmtId="38" fontId="8" fillId="0" borderId="78" xfId="2" applyFont="1" applyFill="1" applyBorder="1" applyAlignment="1">
      <alignment vertical="center"/>
    </xf>
    <xf numFmtId="38" fontId="8" fillId="0" borderId="77" xfId="2" applyFont="1" applyFill="1" applyBorder="1" applyAlignment="1">
      <alignment vertical="center"/>
    </xf>
    <xf numFmtId="38" fontId="8" fillId="0" borderId="77" xfId="2" applyFont="1" applyBorder="1" applyAlignment="1">
      <alignment vertical="center"/>
    </xf>
    <xf numFmtId="38" fontId="8" fillId="0" borderId="75" xfId="2" applyFont="1" applyBorder="1" applyAlignment="1">
      <alignment vertical="center"/>
    </xf>
    <xf numFmtId="38" fontId="4" fillId="2" borderId="25" xfId="2" applyFont="1" applyFill="1" applyBorder="1" applyAlignment="1" applyProtection="1">
      <alignment vertical="center"/>
      <protection locked="0"/>
    </xf>
    <xf numFmtId="10" fontId="4" fillId="0" borderId="14" xfId="3" applyNumberFormat="1" applyFont="1" applyBorder="1" applyAlignment="1">
      <alignment horizontal="center" vertical="center"/>
    </xf>
    <xf numFmtId="10" fontId="4" fillId="0" borderId="15" xfId="3" applyNumberFormat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9" borderId="12" xfId="1" applyFont="1" applyFill="1" applyBorder="1" applyAlignment="1">
      <alignment horizontal="center" vertical="center"/>
    </xf>
    <xf numFmtId="0" fontId="4" fillId="9" borderId="13" xfId="1" applyFont="1" applyFill="1" applyBorder="1" applyAlignment="1">
      <alignment horizontal="center" vertical="center"/>
    </xf>
    <xf numFmtId="0" fontId="4" fillId="4" borderId="27" xfId="1" applyFont="1" applyFill="1" applyBorder="1" applyAlignment="1">
      <alignment horizontal="center" vertical="center"/>
    </xf>
    <xf numFmtId="0" fontId="4" fillId="4" borderId="28" xfId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4" borderId="104" xfId="1" applyFont="1" applyFill="1" applyBorder="1" applyAlignment="1">
      <alignment horizontal="center" vertical="center"/>
    </xf>
    <xf numFmtId="0" fontId="4" fillId="4" borderId="105" xfId="1" applyFont="1" applyFill="1" applyBorder="1" applyAlignment="1">
      <alignment horizontal="center" vertical="center"/>
    </xf>
    <xf numFmtId="0" fontId="4" fillId="3" borderId="27" xfId="1" applyFont="1" applyFill="1" applyBorder="1" applyAlignment="1">
      <alignment horizontal="center" vertical="center"/>
    </xf>
    <xf numFmtId="0" fontId="4" fillId="3" borderId="28" xfId="1" applyFont="1" applyFill="1" applyBorder="1" applyAlignment="1">
      <alignment horizontal="center" vertical="center"/>
    </xf>
    <xf numFmtId="0" fontId="4" fillId="5" borderId="29" xfId="1" applyFont="1" applyFill="1" applyBorder="1" applyAlignment="1">
      <alignment horizontal="center" vertical="center"/>
    </xf>
    <xf numFmtId="0" fontId="4" fillId="5" borderId="28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distributed" vertical="top"/>
    </xf>
    <xf numFmtId="38" fontId="4" fillId="0" borderId="14" xfId="2" applyFont="1" applyBorder="1" applyAlignment="1">
      <alignment horizontal="center" vertical="center"/>
    </xf>
    <xf numFmtId="38" fontId="4" fillId="0" borderId="15" xfId="2" applyFont="1" applyBorder="1" applyAlignment="1">
      <alignment horizontal="center" vertical="center"/>
    </xf>
    <xf numFmtId="38" fontId="4" fillId="0" borderId="18" xfId="2" applyFont="1" applyBorder="1" applyAlignment="1">
      <alignment horizontal="center" vertical="center"/>
    </xf>
    <xf numFmtId="38" fontId="4" fillId="0" borderId="19" xfId="2" applyFont="1" applyBorder="1" applyAlignment="1">
      <alignment horizontal="center" vertical="center"/>
    </xf>
    <xf numFmtId="0" fontId="4" fillId="5" borderId="27" xfId="1" applyFont="1" applyFill="1" applyBorder="1" applyAlignment="1">
      <alignment horizontal="center" vertical="center"/>
    </xf>
    <xf numFmtId="0" fontId="9" fillId="0" borderId="0" xfId="1" applyFont="1" applyAlignment="1">
      <alignment horizontal="distributed" vertical="top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69" xfId="0" applyFont="1" applyBorder="1" applyAlignment="1">
      <alignment horizontal="center" vertical="center" wrapText="1" shrinkToFit="1"/>
    </xf>
    <xf numFmtId="0" fontId="1" fillId="0" borderId="70" xfId="0" applyFont="1" applyBorder="1" applyAlignment="1">
      <alignment horizontal="center" vertical="center" shrinkToFit="1"/>
    </xf>
    <xf numFmtId="0" fontId="1" fillId="0" borderId="71" xfId="0" applyFont="1" applyBorder="1" applyAlignment="1">
      <alignment horizontal="center" vertical="center" shrinkToFit="1"/>
    </xf>
    <xf numFmtId="0" fontId="1" fillId="0" borderId="69" xfId="0" applyFont="1" applyBorder="1" applyAlignment="1">
      <alignment horizontal="center" vertical="center" shrinkToFit="1"/>
    </xf>
    <xf numFmtId="0" fontId="1" fillId="0" borderId="70" xfId="0" applyFont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 shrinkToFit="1"/>
    </xf>
    <xf numFmtId="0" fontId="0" fillId="0" borderId="69" xfId="0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0" fillId="7" borderId="69" xfId="0" applyFill="1" applyBorder="1" applyAlignment="1">
      <alignment horizontal="center" vertical="center" wrapText="1" shrinkToFit="1"/>
    </xf>
    <xf numFmtId="0" fontId="1" fillId="7" borderId="70" xfId="0" applyFont="1" applyFill="1" applyBorder="1" applyAlignment="1">
      <alignment horizontal="center" vertical="center" shrinkToFit="1"/>
    </xf>
    <xf numFmtId="0" fontId="1" fillId="7" borderId="71" xfId="0" applyFont="1" applyFill="1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7" borderId="69" xfId="0" applyFill="1" applyBorder="1" applyAlignment="1">
      <alignment horizontal="center" vertical="center" shrinkToFit="1"/>
    </xf>
    <xf numFmtId="0" fontId="0" fillId="8" borderId="69" xfId="0" applyFill="1" applyBorder="1" applyAlignment="1">
      <alignment horizontal="center" vertical="center" shrinkToFit="1"/>
    </xf>
    <xf numFmtId="0" fontId="0" fillId="0" borderId="69" xfId="0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 wrapText="1" shrinkToFit="1"/>
    </xf>
    <xf numFmtId="0" fontId="1" fillId="0" borderId="71" xfId="0" applyFont="1" applyBorder="1" applyAlignment="1">
      <alignment horizontal="center" vertical="center" wrapText="1" shrinkToFit="1"/>
    </xf>
    <xf numFmtId="0" fontId="0" fillId="4" borderId="69" xfId="0" applyFill="1" applyBorder="1" applyAlignment="1">
      <alignment horizontal="center" vertical="center" wrapText="1" shrinkToFit="1"/>
    </xf>
    <xf numFmtId="0" fontId="1" fillId="4" borderId="70" xfId="0" applyFont="1" applyFill="1" applyBorder="1" applyAlignment="1">
      <alignment horizontal="center" vertical="center" wrapText="1" shrinkToFit="1"/>
    </xf>
    <xf numFmtId="0" fontId="1" fillId="4" borderId="71" xfId="0" applyFont="1" applyFill="1" applyBorder="1" applyAlignment="1">
      <alignment horizontal="center" vertical="center" wrapText="1" shrinkToFit="1"/>
    </xf>
    <xf numFmtId="0" fontId="7" fillId="0" borderId="0" xfId="1" applyFont="1" applyAlignment="1">
      <alignment horizontal="center"/>
    </xf>
    <xf numFmtId="0" fontId="1" fillId="0" borderId="69" xfId="1" applyBorder="1" applyAlignment="1">
      <alignment horizontal="center" vertical="center" wrapText="1" shrinkToFit="1"/>
    </xf>
    <xf numFmtId="0" fontId="1" fillId="0" borderId="70" xfId="1" applyBorder="1" applyAlignment="1">
      <alignment horizontal="center" vertical="center" wrapText="1" shrinkToFit="1"/>
    </xf>
    <xf numFmtId="0" fontId="1" fillId="0" borderId="71" xfId="1" applyBorder="1" applyAlignment="1">
      <alignment horizontal="center" vertical="center" wrapText="1" shrinkToFit="1"/>
    </xf>
    <xf numFmtId="0" fontId="0" fillId="0" borderId="69" xfId="0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0" fillId="0" borderId="71" xfId="0" applyBorder="1" applyAlignment="1">
      <alignment horizontal="left" vertical="center"/>
    </xf>
  </cellXfs>
  <cellStyles count="4">
    <cellStyle name="パーセント 2" xfId="3" xr:uid="{00000000-0005-0000-0000-000000000000}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svosa4\&#32076;&#29702;\&#31532;9&#26399;&#12288;&#22770;&#19978;&#31649;&#29702;&#34920;2010.01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０期売上予想"/>
      <sheetName val="合計"/>
      <sheetName val="本社"/>
      <sheetName val="大阪"/>
      <sheetName val="名古屋"/>
      <sheetName val="三重"/>
      <sheetName val="栃木"/>
      <sheetName val="東京"/>
      <sheetName val="南大阪"/>
      <sheetName val="Sheet1"/>
    </sheetNames>
    <sheetDataSet>
      <sheetData sheetId="0"/>
      <sheetData sheetId="1"/>
      <sheetData sheetId="2">
        <row r="3">
          <cell r="A3" t="str">
            <v>　　</v>
          </cell>
          <cell r="R3" t="str">
            <v>年間合計</v>
          </cell>
          <cell r="S3" t="str">
            <v>占有率</v>
          </cell>
        </row>
        <row r="4">
          <cell r="A4" t="str">
            <v>売上金額</v>
          </cell>
          <cell r="R4">
            <v>0</v>
          </cell>
        </row>
        <row r="5">
          <cell r="A5" t="str">
            <v>配属先</v>
          </cell>
          <cell r="B5" t="str">
            <v>雑給</v>
          </cell>
          <cell r="R5">
            <v>0</v>
          </cell>
          <cell r="S5" t="str">
            <v xml:space="preserve">        ―</v>
          </cell>
        </row>
        <row r="6">
          <cell r="B6" t="str">
            <v>健康保険</v>
          </cell>
          <cell r="R6">
            <v>0</v>
          </cell>
          <cell r="S6" t="str">
            <v xml:space="preserve">        ―</v>
          </cell>
        </row>
        <row r="7">
          <cell r="B7" t="str">
            <v>厚生年金</v>
          </cell>
          <cell r="R7">
            <v>0</v>
          </cell>
          <cell r="S7" t="str">
            <v xml:space="preserve">        ―</v>
          </cell>
        </row>
        <row r="8">
          <cell r="B8" t="str">
            <v>雇用保険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0</v>
          </cell>
          <cell r="S8" t="str">
            <v xml:space="preserve">        ―</v>
          </cell>
        </row>
        <row r="9">
          <cell r="B9" t="str">
            <v>労災保険</v>
          </cell>
          <cell r="R9">
            <v>0</v>
          </cell>
          <cell r="S9" t="str">
            <v xml:space="preserve">        ―</v>
          </cell>
        </row>
        <row r="10">
          <cell r="B10" t="str">
            <v>厚生費</v>
          </cell>
          <cell r="R10">
            <v>0</v>
          </cell>
          <cell r="S10" t="str">
            <v xml:space="preserve">        ―</v>
          </cell>
        </row>
        <row r="11">
          <cell r="B11" t="str">
            <v>通勤費</v>
          </cell>
          <cell r="R11">
            <v>0</v>
          </cell>
          <cell r="S11" t="str">
            <v xml:space="preserve">        ―</v>
          </cell>
        </row>
        <row r="12">
          <cell r="B12" t="str">
            <v>下請負</v>
          </cell>
          <cell r="R12">
            <v>0</v>
          </cell>
          <cell r="S12" t="str">
            <v xml:space="preserve">        ―</v>
          </cell>
        </row>
        <row r="13">
          <cell r="B13" t="str">
            <v>小計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 t="str">
            <v xml:space="preserve">        ―</v>
          </cell>
        </row>
        <row r="14">
          <cell r="A14" t="str">
            <v>粗利益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 t="str">
            <v xml:space="preserve">        ―</v>
          </cell>
        </row>
        <row r="15">
          <cell r="A15" t="str">
            <v>利益率</v>
          </cell>
          <cell r="D15" t="str">
            <v xml:space="preserve">         ― </v>
          </cell>
          <cell r="E15" t="str">
            <v xml:space="preserve">         ― </v>
          </cell>
          <cell r="F15" t="str">
            <v xml:space="preserve">         ― </v>
          </cell>
          <cell r="G15" t="str">
            <v xml:space="preserve">         ― </v>
          </cell>
          <cell r="H15" t="str">
            <v xml:space="preserve">         ― </v>
          </cell>
          <cell r="I15" t="str">
            <v xml:space="preserve">         ― </v>
          </cell>
          <cell r="J15" t="str">
            <v xml:space="preserve">         ― </v>
          </cell>
          <cell r="K15" t="str">
            <v xml:space="preserve">         ― </v>
          </cell>
          <cell r="L15" t="str">
            <v xml:space="preserve">         ― </v>
          </cell>
          <cell r="M15" t="str">
            <v xml:space="preserve">         ― </v>
          </cell>
          <cell r="N15" t="str">
            <v xml:space="preserve">         ― </v>
          </cell>
          <cell r="O15" t="str">
            <v xml:space="preserve">         ― </v>
          </cell>
          <cell r="P15" t="str">
            <v xml:space="preserve">         ― </v>
          </cell>
          <cell r="Q15" t="str">
            <v xml:space="preserve">         ― </v>
          </cell>
          <cell r="R15" t="str">
            <v xml:space="preserve">         ― </v>
          </cell>
          <cell r="S15" t="str">
            <v xml:space="preserve">        ―</v>
          </cell>
        </row>
        <row r="16">
          <cell r="R16">
            <v>52762289</v>
          </cell>
          <cell r="S16" t="str">
            <v xml:space="preserve">        ―</v>
          </cell>
        </row>
        <row r="17">
          <cell r="R17">
            <v>0</v>
          </cell>
          <cell r="S17" t="str">
            <v xml:space="preserve">        ―</v>
          </cell>
        </row>
        <row r="18">
          <cell r="R18">
            <v>0</v>
          </cell>
          <cell r="S18" t="str">
            <v xml:space="preserve">        ―</v>
          </cell>
        </row>
        <row r="19">
          <cell r="R19">
            <v>1473724</v>
          </cell>
          <cell r="S19" t="str">
            <v xml:space="preserve">        ―</v>
          </cell>
        </row>
        <row r="20">
          <cell r="R20">
            <v>1837491</v>
          </cell>
          <cell r="S20" t="str">
            <v xml:space="preserve">        ―</v>
          </cell>
        </row>
        <row r="21">
          <cell r="D21">
            <v>-7744</v>
          </cell>
          <cell r="E21">
            <v>-7789</v>
          </cell>
          <cell r="F21">
            <v>-5411</v>
          </cell>
          <cell r="G21">
            <v>-5547</v>
          </cell>
          <cell r="H21">
            <v>-8603</v>
          </cell>
          <cell r="I21">
            <v>-4107</v>
          </cell>
          <cell r="K21">
            <v>-4101</v>
          </cell>
          <cell r="L21">
            <v>-4592</v>
          </cell>
          <cell r="M21">
            <v>-4207</v>
          </cell>
          <cell r="N21">
            <v>-4389</v>
          </cell>
          <cell r="O21">
            <v>-4684</v>
          </cell>
          <cell r="P21">
            <v>0</v>
          </cell>
          <cell r="R21">
            <v>-61174</v>
          </cell>
          <cell r="S21" t="str">
            <v xml:space="preserve">        ―</v>
          </cell>
        </row>
        <row r="22">
          <cell r="R22">
            <v>0</v>
          </cell>
          <cell r="S22" t="str">
            <v xml:space="preserve">        ―</v>
          </cell>
        </row>
        <row r="23">
          <cell r="R23">
            <v>976803</v>
          </cell>
          <cell r="S23" t="str">
            <v xml:space="preserve">        ―</v>
          </cell>
        </row>
        <row r="24">
          <cell r="D24">
            <v>5960567</v>
          </cell>
          <cell r="E24">
            <v>6098526</v>
          </cell>
          <cell r="F24">
            <v>5401876</v>
          </cell>
          <cell r="G24">
            <v>5435802</v>
          </cell>
          <cell r="H24">
            <v>6425056</v>
          </cell>
          <cell r="I24">
            <v>4998075</v>
          </cell>
          <cell r="J24">
            <v>34319902</v>
          </cell>
          <cell r="K24">
            <v>5703752</v>
          </cell>
          <cell r="L24">
            <v>4220955</v>
          </cell>
          <cell r="M24">
            <v>4125907</v>
          </cell>
          <cell r="N24">
            <v>4324133</v>
          </cell>
          <cell r="O24">
            <v>4294484</v>
          </cell>
          <cell r="P24">
            <v>0</v>
          </cell>
          <cell r="Q24">
            <v>22669231</v>
          </cell>
          <cell r="R24">
            <v>56989133</v>
          </cell>
          <cell r="S24" t="str">
            <v xml:space="preserve">        ―</v>
          </cell>
        </row>
        <row r="25">
          <cell r="R25">
            <v>1247686</v>
          </cell>
          <cell r="S25" t="str">
            <v xml:space="preserve">        ―</v>
          </cell>
        </row>
        <row r="26">
          <cell r="R26">
            <v>1729379</v>
          </cell>
          <cell r="S26" t="str">
            <v xml:space="preserve">        ―</v>
          </cell>
        </row>
        <row r="27">
          <cell r="R27">
            <v>4947186</v>
          </cell>
          <cell r="S27" t="str">
            <v xml:space="preserve">        ―</v>
          </cell>
        </row>
        <row r="28">
          <cell r="R28">
            <v>935469</v>
          </cell>
          <cell r="S28" t="str">
            <v xml:space="preserve">        ―</v>
          </cell>
        </row>
        <row r="29">
          <cell r="R29">
            <v>305000</v>
          </cell>
          <cell r="S29" t="str">
            <v xml:space="preserve">        ―</v>
          </cell>
        </row>
        <row r="30">
          <cell r="R30">
            <v>381167</v>
          </cell>
          <cell r="S30" t="str">
            <v xml:space="preserve">        ―</v>
          </cell>
        </row>
        <row r="31">
          <cell r="R31">
            <v>598877</v>
          </cell>
          <cell r="S31" t="str">
            <v xml:space="preserve">        ―</v>
          </cell>
        </row>
        <row r="32">
          <cell r="R32">
            <v>57947</v>
          </cell>
          <cell r="S32" t="str">
            <v xml:space="preserve">        ―</v>
          </cell>
        </row>
        <row r="33">
          <cell r="R33">
            <v>2304559</v>
          </cell>
          <cell r="S33" t="str">
            <v xml:space="preserve">        ―</v>
          </cell>
        </row>
        <row r="34">
          <cell r="R34">
            <v>355887</v>
          </cell>
          <cell r="S34" t="str">
            <v xml:space="preserve">        ―</v>
          </cell>
        </row>
        <row r="35">
          <cell r="R35">
            <v>4430101</v>
          </cell>
          <cell r="S35" t="str">
            <v xml:space="preserve">        ―</v>
          </cell>
        </row>
        <row r="36">
          <cell r="R36">
            <v>1502349</v>
          </cell>
          <cell r="S36" t="str">
            <v xml:space="preserve">        ―</v>
          </cell>
        </row>
        <row r="37">
          <cell r="R37">
            <v>311568</v>
          </cell>
          <cell r="S37" t="str">
            <v xml:space="preserve">        ―</v>
          </cell>
        </row>
        <row r="38">
          <cell r="R38">
            <v>5580696</v>
          </cell>
          <cell r="S38" t="str">
            <v xml:space="preserve">        ―</v>
          </cell>
        </row>
        <row r="39">
          <cell r="R39">
            <v>0</v>
          </cell>
          <cell r="S39" t="str">
            <v xml:space="preserve">        ―</v>
          </cell>
        </row>
        <row r="40">
          <cell r="R40">
            <v>310181</v>
          </cell>
          <cell r="S40" t="str">
            <v xml:space="preserve">        ―</v>
          </cell>
        </row>
        <row r="41">
          <cell r="R41">
            <v>18000</v>
          </cell>
          <cell r="S41" t="str">
            <v xml:space="preserve">        ―</v>
          </cell>
        </row>
        <row r="42">
          <cell r="R42">
            <v>2234296</v>
          </cell>
          <cell r="S42" t="str">
            <v xml:space="preserve">        ―</v>
          </cell>
        </row>
        <row r="43">
          <cell r="R43">
            <v>0</v>
          </cell>
          <cell r="S43" t="str">
            <v xml:space="preserve">        ―</v>
          </cell>
        </row>
        <row r="44">
          <cell r="R44">
            <v>368976</v>
          </cell>
          <cell r="S44" t="str">
            <v xml:space="preserve">        ―</v>
          </cell>
        </row>
        <row r="45">
          <cell r="R45">
            <v>4386589</v>
          </cell>
          <cell r="S45" t="str">
            <v xml:space="preserve">        ―</v>
          </cell>
        </row>
        <row r="46">
          <cell r="R46">
            <v>4693738</v>
          </cell>
          <cell r="S46" t="str">
            <v xml:space="preserve">        ―</v>
          </cell>
        </row>
        <row r="47">
          <cell r="R47">
            <v>0</v>
          </cell>
          <cell r="S47" t="str">
            <v xml:space="preserve">        ―</v>
          </cell>
        </row>
        <row r="48">
          <cell r="D48">
            <v>2778363</v>
          </cell>
          <cell r="E48">
            <v>3688109</v>
          </cell>
          <cell r="F48">
            <v>2962929</v>
          </cell>
          <cell r="G48">
            <v>2469250</v>
          </cell>
          <cell r="H48">
            <v>2243231</v>
          </cell>
          <cell r="I48">
            <v>7265720</v>
          </cell>
          <cell r="J48">
            <v>21407602</v>
          </cell>
          <cell r="K48">
            <v>2296213</v>
          </cell>
          <cell r="L48">
            <v>3115344</v>
          </cell>
          <cell r="M48">
            <v>3387938</v>
          </cell>
          <cell r="N48">
            <v>2436111</v>
          </cell>
          <cell r="O48">
            <v>4056443</v>
          </cell>
          <cell r="P48">
            <v>0</v>
          </cell>
          <cell r="Q48">
            <v>15292049</v>
          </cell>
          <cell r="R48">
            <v>36699651</v>
          </cell>
          <cell r="S48" t="str">
            <v xml:space="preserve">        ―</v>
          </cell>
        </row>
        <row r="49">
          <cell r="D49">
            <v>8738930</v>
          </cell>
          <cell r="E49">
            <v>9786635</v>
          </cell>
          <cell r="F49">
            <v>8364805</v>
          </cell>
          <cell r="G49">
            <v>7905052</v>
          </cell>
          <cell r="H49">
            <v>8668287</v>
          </cell>
          <cell r="I49">
            <v>12263795</v>
          </cell>
          <cell r="J49">
            <v>55727504</v>
          </cell>
          <cell r="K49">
            <v>7999965</v>
          </cell>
          <cell r="L49">
            <v>7336299</v>
          </cell>
          <cell r="M49">
            <v>7513845</v>
          </cell>
          <cell r="N49">
            <v>6760244</v>
          </cell>
          <cell r="O49">
            <v>8350927</v>
          </cell>
          <cell r="P49">
            <v>0</v>
          </cell>
          <cell r="Q49">
            <v>37961280</v>
          </cell>
          <cell r="R49">
            <v>93688784</v>
          </cell>
          <cell r="S49" t="str">
            <v xml:space="preserve">        ―</v>
          </cell>
        </row>
        <row r="50">
          <cell r="D50">
            <v>-8738930</v>
          </cell>
          <cell r="E50">
            <v>-9786635</v>
          </cell>
          <cell r="F50">
            <v>-8364805</v>
          </cell>
          <cell r="G50">
            <v>-7905052</v>
          </cell>
          <cell r="H50">
            <v>-8668287</v>
          </cell>
          <cell r="I50">
            <v>-12263795</v>
          </cell>
          <cell r="J50">
            <v>-55727504</v>
          </cell>
          <cell r="K50">
            <v>-7999965</v>
          </cell>
          <cell r="L50">
            <v>-7336299</v>
          </cell>
          <cell r="M50">
            <v>-7513845</v>
          </cell>
          <cell r="N50">
            <v>-6760244</v>
          </cell>
          <cell r="O50">
            <v>-8350927</v>
          </cell>
          <cell r="P50">
            <v>0</v>
          </cell>
          <cell r="Q50">
            <v>-37961280</v>
          </cell>
          <cell r="R50">
            <v>-93688784</v>
          </cell>
          <cell r="S50" t="str">
            <v xml:space="preserve">        ―</v>
          </cell>
        </row>
        <row r="51">
          <cell r="D51" t="str">
            <v xml:space="preserve">  ― </v>
          </cell>
          <cell r="E51" t="str">
            <v xml:space="preserve">  ― </v>
          </cell>
          <cell r="F51" t="str">
            <v xml:space="preserve">  ― </v>
          </cell>
          <cell r="G51" t="str">
            <v xml:space="preserve">  ― </v>
          </cell>
          <cell r="H51" t="str">
            <v xml:space="preserve">  ― </v>
          </cell>
          <cell r="I51" t="str">
            <v xml:space="preserve">  ― </v>
          </cell>
          <cell r="J51" t="str">
            <v xml:space="preserve">  ― </v>
          </cell>
          <cell r="K51" t="str">
            <v xml:space="preserve">  ― </v>
          </cell>
          <cell r="L51" t="str">
            <v xml:space="preserve">  ― </v>
          </cell>
          <cell r="M51" t="str">
            <v xml:space="preserve">  ― </v>
          </cell>
          <cell r="N51" t="str">
            <v xml:space="preserve">  ― </v>
          </cell>
          <cell r="O51" t="str">
            <v xml:space="preserve">  ― </v>
          </cell>
          <cell r="P51" t="str">
            <v xml:space="preserve">  ― </v>
          </cell>
          <cell r="Q51" t="str">
            <v xml:space="preserve">  ― </v>
          </cell>
          <cell r="R51" t="str">
            <v xml:space="preserve">  ― 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N62"/>
  <sheetViews>
    <sheetView tabSelected="1" view="pageBreakPreview" zoomScale="60" zoomScaleNormal="40" workbookViewId="0">
      <selection activeCell="F37" sqref="F37"/>
    </sheetView>
  </sheetViews>
  <sheetFormatPr defaultRowHeight="14.25" outlineLevelCol="2" x14ac:dyDescent="0.15"/>
  <cols>
    <col min="1" max="1" width="9" style="2" customWidth="1"/>
    <col min="2" max="2" width="18.625" style="2" customWidth="1"/>
    <col min="3" max="3" width="13.25" style="2" customWidth="1" outlineLevel="2"/>
    <col min="4" max="4" width="13.25" style="2" customWidth="1" outlineLevel="1"/>
    <col min="5" max="5" width="13.25" style="2" customWidth="1" outlineLevel="2"/>
    <col min="6" max="6" width="13.25" style="2" customWidth="1" outlineLevel="1"/>
    <col min="7" max="7" width="13.25" style="2" customWidth="1" outlineLevel="2"/>
    <col min="8" max="8" width="13.25" style="2" customWidth="1" outlineLevel="1"/>
    <col min="9" max="10" width="13.25" style="2" hidden="1" customWidth="1"/>
    <col min="11" max="11" width="13.25" style="2" customWidth="1" outlineLevel="2"/>
    <col min="12" max="12" width="13.25" style="2" customWidth="1" outlineLevel="1"/>
    <col min="13" max="13" width="13.25" style="2" customWidth="1" outlineLevel="2"/>
    <col min="14" max="14" width="13.25" style="2" customWidth="1" outlineLevel="1"/>
    <col min="15" max="15" width="13.25" style="2" customWidth="1" outlineLevel="2"/>
    <col min="16" max="16" width="13.25" style="2" customWidth="1" outlineLevel="1"/>
    <col min="17" max="18" width="13.25" style="2" hidden="1" customWidth="1"/>
    <col min="19" max="19" width="14.625" style="2" hidden="1" customWidth="1"/>
    <col min="20" max="20" width="13.25" style="2" hidden="1" customWidth="1"/>
    <col min="21" max="21" width="13.25" style="2" customWidth="1" outlineLevel="2"/>
    <col min="22" max="22" width="13.25" style="2" customWidth="1" outlineLevel="1"/>
    <col min="23" max="23" width="13.25" style="2" customWidth="1" outlineLevel="2"/>
    <col min="24" max="24" width="13.25" style="2" customWidth="1" outlineLevel="1"/>
    <col min="25" max="25" width="13.25" style="2" customWidth="1" outlineLevel="2"/>
    <col min="26" max="26" width="13.25" style="2" customWidth="1" outlineLevel="1"/>
    <col min="27" max="28" width="13.25" style="2" hidden="1" customWidth="1"/>
    <col min="29" max="29" width="13.25" style="2" customWidth="1" outlineLevel="2"/>
    <col min="30" max="30" width="13.25" style="2" customWidth="1" outlineLevel="1"/>
    <col min="31" max="31" width="13.25" style="2" customWidth="1" outlineLevel="2"/>
    <col min="32" max="32" width="13.25" style="2" customWidth="1" outlineLevel="1"/>
    <col min="33" max="33" width="13.25" style="2" customWidth="1" outlineLevel="2"/>
    <col min="34" max="34" width="13.25" style="2" customWidth="1" outlineLevel="1"/>
    <col min="35" max="36" width="13.25" style="2" hidden="1" customWidth="1"/>
    <col min="37" max="37" width="14.625" style="2" hidden="1" customWidth="1"/>
    <col min="38" max="38" width="13.25" style="2" hidden="1" customWidth="1"/>
    <col min="39" max="39" width="14.625" style="2" customWidth="1"/>
    <col min="40" max="40" width="14" style="2" customWidth="1"/>
    <col min="41" max="274" width="9" style="2"/>
    <col min="275" max="275" width="9" style="2" customWidth="1"/>
    <col min="276" max="276" width="18.625" style="2" customWidth="1"/>
    <col min="277" max="277" width="0" style="2" hidden="1" customWidth="1"/>
    <col min="278" max="296" width="13.25" style="2" customWidth="1"/>
    <col min="297" max="530" width="9" style="2"/>
    <col min="531" max="531" width="9" style="2" customWidth="1"/>
    <col min="532" max="532" width="18.625" style="2" customWidth="1"/>
    <col min="533" max="533" width="0" style="2" hidden="1" customWidth="1"/>
    <col min="534" max="552" width="13.25" style="2" customWidth="1"/>
    <col min="553" max="786" width="9" style="2"/>
    <col min="787" max="787" width="9" style="2" customWidth="1"/>
    <col min="788" max="788" width="18.625" style="2" customWidth="1"/>
    <col min="789" max="789" width="0" style="2" hidden="1" customWidth="1"/>
    <col min="790" max="808" width="13.25" style="2" customWidth="1"/>
    <col min="809" max="1042" width="9" style="2"/>
    <col min="1043" max="1043" width="9" style="2" customWidth="1"/>
    <col min="1044" max="1044" width="18.625" style="2" customWidth="1"/>
    <col min="1045" max="1045" width="0" style="2" hidden="1" customWidth="1"/>
    <col min="1046" max="1064" width="13.25" style="2" customWidth="1"/>
    <col min="1065" max="1298" width="9" style="2"/>
    <col min="1299" max="1299" width="9" style="2" customWidth="1"/>
    <col min="1300" max="1300" width="18.625" style="2" customWidth="1"/>
    <col min="1301" max="1301" width="0" style="2" hidden="1" customWidth="1"/>
    <col min="1302" max="1320" width="13.25" style="2" customWidth="1"/>
    <col min="1321" max="1554" width="9" style="2"/>
    <col min="1555" max="1555" width="9" style="2" customWidth="1"/>
    <col min="1556" max="1556" width="18.625" style="2" customWidth="1"/>
    <col min="1557" max="1557" width="0" style="2" hidden="1" customWidth="1"/>
    <col min="1558" max="1576" width="13.25" style="2" customWidth="1"/>
    <col min="1577" max="1810" width="9" style="2"/>
    <col min="1811" max="1811" width="9" style="2" customWidth="1"/>
    <col min="1812" max="1812" width="18.625" style="2" customWidth="1"/>
    <col min="1813" max="1813" width="0" style="2" hidden="1" customWidth="1"/>
    <col min="1814" max="1832" width="13.25" style="2" customWidth="1"/>
    <col min="1833" max="2066" width="9" style="2"/>
    <col min="2067" max="2067" width="9" style="2" customWidth="1"/>
    <col min="2068" max="2068" width="18.625" style="2" customWidth="1"/>
    <col min="2069" max="2069" width="0" style="2" hidden="1" customWidth="1"/>
    <col min="2070" max="2088" width="13.25" style="2" customWidth="1"/>
    <col min="2089" max="2322" width="9" style="2"/>
    <col min="2323" max="2323" width="9" style="2" customWidth="1"/>
    <col min="2324" max="2324" width="18.625" style="2" customWidth="1"/>
    <col min="2325" max="2325" width="0" style="2" hidden="1" customWidth="1"/>
    <col min="2326" max="2344" width="13.25" style="2" customWidth="1"/>
    <col min="2345" max="2578" width="9" style="2"/>
    <col min="2579" max="2579" width="9" style="2" customWidth="1"/>
    <col min="2580" max="2580" width="18.625" style="2" customWidth="1"/>
    <col min="2581" max="2581" width="0" style="2" hidden="1" customWidth="1"/>
    <col min="2582" max="2600" width="13.25" style="2" customWidth="1"/>
    <col min="2601" max="2834" width="9" style="2"/>
    <col min="2835" max="2835" width="9" style="2" customWidth="1"/>
    <col min="2836" max="2836" width="18.625" style="2" customWidth="1"/>
    <col min="2837" max="2837" width="0" style="2" hidden="1" customWidth="1"/>
    <col min="2838" max="2856" width="13.25" style="2" customWidth="1"/>
    <col min="2857" max="3090" width="9" style="2"/>
    <col min="3091" max="3091" width="9" style="2" customWidth="1"/>
    <col min="3092" max="3092" width="18.625" style="2" customWidth="1"/>
    <col min="3093" max="3093" width="0" style="2" hidden="1" customWidth="1"/>
    <col min="3094" max="3112" width="13.25" style="2" customWidth="1"/>
    <col min="3113" max="3346" width="9" style="2"/>
    <col min="3347" max="3347" width="9" style="2" customWidth="1"/>
    <col min="3348" max="3348" width="18.625" style="2" customWidth="1"/>
    <col min="3349" max="3349" width="0" style="2" hidden="1" customWidth="1"/>
    <col min="3350" max="3368" width="13.25" style="2" customWidth="1"/>
    <col min="3369" max="3602" width="9" style="2"/>
    <col min="3603" max="3603" width="9" style="2" customWidth="1"/>
    <col min="3604" max="3604" width="18.625" style="2" customWidth="1"/>
    <col min="3605" max="3605" width="0" style="2" hidden="1" customWidth="1"/>
    <col min="3606" max="3624" width="13.25" style="2" customWidth="1"/>
    <col min="3625" max="3858" width="9" style="2"/>
    <col min="3859" max="3859" width="9" style="2" customWidth="1"/>
    <col min="3860" max="3860" width="18.625" style="2" customWidth="1"/>
    <col min="3861" max="3861" width="0" style="2" hidden="1" customWidth="1"/>
    <col min="3862" max="3880" width="13.25" style="2" customWidth="1"/>
    <col min="3881" max="4114" width="9" style="2"/>
    <col min="4115" max="4115" width="9" style="2" customWidth="1"/>
    <col min="4116" max="4116" width="18.625" style="2" customWidth="1"/>
    <col min="4117" max="4117" width="0" style="2" hidden="1" customWidth="1"/>
    <col min="4118" max="4136" width="13.25" style="2" customWidth="1"/>
    <col min="4137" max="4370" width="9" style="2"/>
    <col min="4371" max="4371" width="9" style="2" customWidth="1"/>
    <col min="4372" max="4372" width="18.625" style="2" customWidth="1"/>
    <col min="4373" max="4373" width="0" style="2" hidden="1" customWidth="1"/>
    <col min="4374" max="4392" width="13.25" style="2" customWidth="1"/>
    <col min="4393" max="4626" width="9" style="2"/>
    <col min="4627" max="4627" width="9" style="2" customWidth="1"/>
    <col min="4628" max="4628" width="18.625" style="2" customWidth="1"/>
    <col min="4629" max="4629" width="0" style="2" hidden="1" customWidth="1"/>
    <col min="4630" max="4648" width="13.25" style="2" customWidth="1"/>
    <col min="4649" max="4882" width="9" style="2"/>
    <col min="4883" max="4883" width="9" style="2" customWidth="1"/>
    <col min="4884" max="4884" width="18.625" style="2" customWidth="1"/>
    <col min="4885" max="4885" width="0" style="2" hidden="1" customWidth="1"/>
    <col min="4886" max="4904" width="13.25" style="2" customWidth="1"/>
    <col min="4905" max="5138" width="9" style="2"/>
    <col min="5139" max="5139" width="9" style="2" customWidth="1"/>
    <col min="5140" max="5140" width="18.625" style="2" customWidth="1"/>
    <col min="5141" max="5141" width="0" style="2" hidden="1" customWidth="1"/>
    <col min="5142" max="5160" width="13.25" style="2" customWidth="1"/>
    <col min="5161" max="5394" width="9" style="2"/>
    <col min="5395" max="5395" width="9" style="2" customWidth="1"/>
    <col min="5396" max="5396" width="18.625" style="2" customWidth="1"/>
    <col min="5397" max="5397" width="0" style="2" hidden="1" customWidth="1"/>
    <col min="5398" max="5416" width="13.25" style="2" customWidth="1"/>
    <col min="5417" max="5650" width="9" style="2"/>
    <col min="5651" max="5651" width="9" style="2" customWidth="1"/>
    <col min="5652" max="5652" width="18.625" style="2" customWidth="1"/>
    <col min="5653" max="5653" width="0" style="2" hidden="1" customWidth="1"/>
    <col min="5654" max="5672" width="13.25" style="2" customWidth="1"/>
    <col min="5673" max="5906" width="9" style="2"/>
    <col min="5907" max="5907" width="9" style="2" customWidth="1"/>
    <col min="5908" max="5908" width="18.625" style="2" customWidth="1"/>
    <col min="5909" max="5909" width="0" style="2" hidden="1" customWidth="1"/>
    <col min="5910" max="5928" width="13.25" style="2" customWidth="1"/>
    <col min="5929" max="6162" width="9" style="2"/>
    <col min="6163" max="6163" width="9" style="2" customWidth="1"/>
    <col min="6164" max="6164" width="18.625" style="2" customWidth="1"/>
    <col min="6165" max="6165" width="0" style="2" hidden="1" customWidth="1"/>
    <col min="6166" max="6184" width="13.25" style="2" customWidth="1"/>
    <col min="6185" max="6418" width="9" style="2"/>
    <col min="6419" max="6419" width="9" style="2" customWidth="1"/>
    <col min="6420" max="6420" width="18.625" style="2" customWidth="1"/>
    <col min="6421" max="6421" width="0" style="2" hidden="1" customWidth="1"/>
    <col min="6422" max="6440" width="13.25" style="2" customWidth="1"/>
    <col min="6441" max="6674" width="9" style="2"/>
    <col min="6675" max="6675" width="9" style="2" customWidth="1"/>
    <col min="6676" max="6676" width="18.625" style="2" customWidth="1"/>
    <col min="6677" max="6677" width="0" style="2" hidden="1" customWidth="1"/>
    <col min="6678" max="6696" width="13.25" style="2" customWidth="1"/>
    <col min="6697" max="6930" width="9" style="2"/>
    <col min="6931" max="6931" width="9" style="2" customWidth="1"/>
    <col min="6932" max="6932" width="18.625" style="2" customWidth="1"/>
    <col min="6933" max="6933" width="0" style="2" hidden="1" customWidth="1"/>
    <col min="6934" max="6952" width="13.25" style="2" customWidth="1"/>
    <col min="6953" max="7186" width="9" style="2"/>
    <col min="7187" max="7187" width="9" style="2" customWidth="1"/>
    <col min="7188" max="7188" width="18.625" style="2" customWidth="1"/>
    <col min="7189" max="7189" width="0" style="2" hidden="1" customWidth="1"/>
    <col min="7190" max="7208" width="13.25" style="2" customWidth="1"/>
    <col min="7209" max="7442" width="9" style="2"/>
    <col min="7443" max="7443" width="9" style="2" customWidth="1"/>
    <col min="7444" max="7444" width="18.625" style="2" customWidth="1"/>
    <col min="7445" max="7445" width="0" style="2" hidden="1" customWidth="1"/>
    <col min="7446" max="7464" width="13.25" style="2" customWidth="1"/>
    <col min="7465" max="7698" width="9" style="2"/>
    <col min="7699" max="7699" width="9" style="2" customWidth="1"/>
    <col min="7700" max="7700" width="18.625" style="2" customWidth="1"/>
    <col min="7701" max="7701" width="0" style="2" hidden="1" customWidth="1"/>
    <col min="7702" max="7720" width="13.25" style="2" customWidth="1"/>
    <col min="7721" max="7954" width="9" style="2"/>
    <col min="7955" max="7955" width="9" style="2" customWidth="1"/>
    <col min="7956" max="7956" width="18.625" style="2" customWidth="1"/>
    <col min="7957" max="7957" width="0" style="2" hidden="1" customWidth="1"/>
    <col min="7958" max="7976" width="13.25" style="2" customWidth="1"/>
    <col min="7977" max="8210" width="9" style="2"/>
    <col min="8211" max="8211" width="9" style="2" customWidth="1"/>
    <col min="8212" max="8212" width="18.625" style="2" customWidth="1"/>
    <col min="8213" max="8213" width="0" style="2" hidden="1" customWidth="1"/>
    <col min="8214" max="8232" width="13.25" style="2" customWidth="1"/>
    <col min="8233" max="8466" width="9" style="2"/>
    <col min="8467" max="8467" width="9" style="2" customWidth="1"/>
    <col min="8468" max="8468" width="18.625" style="2" customWidth="1"/>
    <col min="8469" max="8469" width="0" style="2" hidden="1" customWidth="1"/>
    <col min="8470" max="8488" width="13.25" style="2" customWidth="1"/>
    <col min="8489" max="8722" width="9" style="2"/>
    <col min="8723" max="8723" width="9" style="2" customWidth="1"/>
    <col min="8724" max="8724" width="18.625" style="2" customWidth="1"/>
    <col min="8725" max="8725" width="0" style="2" hidden="1" customWidth="1"/>
    <col min="8726" max="8744" width="13.25" style="2" customWidth="1"/>
    <col min="8745" max="8978" width="9" style="2"/>
    <col min="8979" max="8979" width="9" style="2" customWidth="1"/>
    <col min="8980" max="8980" width="18.625" style="2" customWidth="1"/>
    <col min="8981" max="8981" width="0" style="2" hidden="1" customWidth="1"/>
    <col min="8982" max="9000" width="13.25" style="2" customWidth="1"/>
    <col min="9001" max="9234" width="9" style="2"/>
    <col min="9235" max="9235" width="9" style="2" customWidth="1"/>
    <col min="9236" max="9236" width="18.625" style="2" customWidth="1"/>
    <col min="9237" max="9237" width="0" style="2" hidden="1" customWidth="1"/>
    <col min="9238" max="9256" width="13.25" style="2" customWidth="1"/>
    <col min="9257" max="9490" width="9" style="2"/>
    <col min="9491" max="9491" width="9" style="2" customWidth="1"/>
    <col min="9492" max="9492" width="18.625" style="2" customWidth="1"/>
    <col min="9493" max="9493" width="0" style="2" hidden="1" customWidth="1"/>
    <col min="9494" max="9512" width="13.25" style="2" customWidth="1"/>
    <col min="9513" max="9746" width="9" style="2"/>
    <col min="9747" max="9747" width="9" style="2" customWidth="1"/>
    <col min="9748" max="9748" width="18.625" style="2" customWidth="1"/>
    <col min="9749" max="9749" width="0" style="2" hidden="1" customWidth="1"/>
    <col min="9750" max="9768" width="13.25" style="2" customWidth="1"/>
    <col min="9769" max="10002" width="9" style="2"/>
    <col min="10003" max="10003" width="9" style="2" customWidth="1"/>
    <col min="10004" max="10004" width="18.625" style="2" customWidth="1"/>
    <col min="10005" max="10005" width="0" style="2" hidden="1" customWidth="1"/>
    <col min="10006" max="10024" width="13.25" style="2" customWidth="1"/>
    <col min="10025" max="10258" width="9" style="2"/>
    <col min="10259" max="10259" width="9" style="2" customWidth="1"/>
    <col min="10260" max="10260" width="18.625" style="2" customWidth="1"/>
    <col min="10261" max="10261" width="0" style="2" hidden="1" customWidth="1"/>
    <col min="10262" max="10280" width="13.25" style="2" customWidth="1"/>
    <col min="10281" max="10514" width="9" style="2"/>
    <col min="10515" max="10515" width="9" style="2" customWidth="1"/>
    <col min="10516" max="10516" width="18.625" style="2" customWidth="1"/>
    <col min="10517" max="10517" width="0" style="2" hidden="1" customWidth="1"/>
    <col min="10518" max="10536" width="13.25" style="2" customWidth="1"/>
    <col min="10537" max="10770" width="9" style="2"/>
    <col min="10771" max="10771" width="9" style="2" customWidth="1"/>
    <col min="10772" max="10772" width="18.625" style="2" customWidth="1"/>
    <col min="10773" max="10773" width="0" style="2" hidden="1" customWidth="1"/>
    <col min="10774" max="10792" width="13.25" style="2" customWidth="1"/>
    <col min="10793" max="11026" width="9" style="2"/>
    <col min="11027" max="11027" width="9" style="2" customWidth="1"/>
    <col min="11028" max="11028" width="18.625" style="2" customWidth="1"/>
    <col min="11029" max="11029" width="0" style="2" hidden="1" customWidth="1"/>
    <col min="11030" max="11048" width="13.25" style="2" customWidth="1"/>
    <col min="11049" max="11282" width="9" style="2"/>
    <col min="11283" max="11283" width="9" style="2" customWidth="1"/>
    <col min="11284" max="11284" width="18.625" style="2" customWidth="1"/>
    <col min="11285" max="11285" width="0" style="2" hidden="1" customWidth="1"/>
    <col min="11286" max="11304" width="13.25" style="2" customWidth="1"/>
    <col min="11305" max="11538" width="9" style="2"/>
    <col min="11539" max="11539" width="9" style="2" customWidth="1"/>
    <col min="11540" max="11540" width="18.625" style="2" customWidth="1"/>
    <col min="11541" max="11541" width="0" style="2" hidden="1" customWidth="1"/>
    <col min="11542" max="11560" width="13.25" style="2" customWidth="1"/>
    <col min="11561" max="11794" width="9" style="2"/>
    <col min="11795" max="11795" width="9" style="2" customWidth="1"/>
    <col min="11796" max="11796" width="18.625" style="2" customWidth="1"/>
    <col min="11797" max="11797" width="0" style="2" hidden="1" customWidth="1"/>
    <col min="11798" max="11816" width="13.25" style="2" customWidth="1"/>
    <col min="11817" max="12050" width="9" style="2"/>
    <col min="12051" max="12051" width="9" style="2" customWidth="1"/>
    <col min="12052" max="12052" width="18.625" style="2" customWidth="1"/>
    <col min="12053" max="12053" width="0" style="2" hidden="1" customWidth="1"/>
    <col min="12054" max="12072" width="13.25" style="2" customWidth="1"/>
    <col min="12073" max="12306" width="9" style="2"/>
    <col min="12307" max="12307" width="9" style="2" customWidth="1"/>
    <col min="12308" max="12308" width="18.625" style="2" customWidth="1"/>
    <col min="12309" max="12309" width="0" style="2" hidden="1" customWidth="1"/>
    <col min="12310" max="12328" width="13.25" style="2" customWidth="1"/>
    <col min="12329" max="12562" width="9" style="2"/>
    <col min="12563" max="12563" width="9" style="2" customWidth="1"/>
    <col min="12564" max="12564" width="18.625" style="2" customWidth="1"/>
    <col min="12565" max="12565" width="0" style="2" hidden="1" customWidth="1"/>
    <col min="12566" max="12584" width="13.25" style="2" customWidth="1"/>
    <col min="12585" max="12818" width="9" style="2"/>
    <col min="12819" max="12819" width="9" style="2" customWidth="1"/>
    <col min="12820" max="12820" width="18.625" style="2" customWidth="1"/>
    <col min="12821" max="12821" width="0" style="2" hidden="1" customWidth="1"/>
    <col min="12822" max="12840" width="13.25" style="2" customWidth="1"/>
    <col min="12841" max="13074" width="9" style="2"/>
    <col min="13075" max="13075" width="9" style="2" customWidth="1"/>
    <col min="13076" max="13076" width="18.625" style="2" customWidth="1"/>
    <col min="13077" max="13077" width="0" style="2" hidden="1" customWidth="1"/>
    <col min="13078" max="13096" width="13.25" style="2" customWidth="1"/>
    <col min="13097" max="13330" width="9" style="2"/>
    <col min="13331" max="13331" width="9" style="2" customWidth="1"/>
    <col min="13332" max="13332" width="18.625" style="2" customWidth="1"/>
    <col min="13333" max="13333" width="0" style="2" hidden="1" customWidth="1"/>
    <col min="13334" max="13352" width="13.25" style="2" customWidth="1"/>
    <col min="13353" max="13586" width="9" style="2"/>
    <col min="13587" max="13587" width="9" style="2" customWidth="1"/>
    <col min="13588" max="13588" width="18.625" style="2" customWidth="1"/>
    <col min="13589" max="13589" width="0" style="2" hidden="1" customWidth="1"/>
    <col min="13590" max="13608" width="13.25" style="2" customWidth="1"/>
    <col min="13609" max="13842" width="9" style="2"/>
    <col min="13843" max="13843" width="9" style="2" customWidth="1"/>
    <col min="13844" max="13844" width="18.625" style="2" customWidth="1"/>
    <col min="13845" max="13845" width="0" style="2" hidden="1" customWidth="1"/>
    <col min="13846" max="13864" width="13.25" style="2" customWidth="1"/>
    <col min="13865" max="14098" width="9" style="2"/>
    <col min="14099" max="14099" width="9" style="2" customWidth="1"/>
    <col min="14100" max="14100" width="18.625" style="2" customWidth="1"/>
    <col min="14101" max="14101" width="0" style="2" hidden="1" customWidth="1"/>
    <col min="14102" max="14120" width="13.25" style="2" customWidth="1"/>
    <col min="14121" max="14354" width="9" style="2"/>
    <col min="14355" max="14355" width="9" style="2" customWidth="1"/>
    <col min="14356" max="14356" width="18.625" style="2" customWidth="1"/>
    <col min="14357" max="14357" width="0" style="2" hidden="1" customWidth="1"/>
    <col min="14358" max="14376" width="13.25" style="2" customWidth="1"/>
    <col min="14377" max="14610" width="9" style="2"/>
    <col min="14611" max="14611" width="9" style="2" customWidth="1"/>
    <col min="14612" max="14612" width="18.625" style="2" customWidth="1"/>
    <col min="14613" max="14613" width="0" style="2" hidden="1" customWidth="1"/>
    <col min="14614" max="14632" width="13.25" style="2" customWidth="1"/>
    <col min="14633" max="14866" width="9" style="2"/>
    <col min="14867" max="14867" width="9" style="2" customWidth="1"/>
    <col min="14868" max="14868" width="18.625" style="2" customWidth="1"/>
    <col min="14869" max="14869" width="0" style="2" hidden="1" customWidth="1"/>
    <col min="14870" max="14888" width="13.25" style="2" customWidth="1"/>
    <col min="14889" max="15122" width="9" style="2"/>
    <col min="15123" max="15123" width="9" style="2" customWidth="1"/>
    <col min="15124" max="15124" width="18.625" style="2" customWidth="1"/>
    <col min="15125" max="15125" width="0" style="2" hidden="1" customWidth="1"/>
    <col min="15126" max="15144" width="13.25" style="2" customWidth="1"/>
    <col min="15145" max="15378" width="9" style="2"/>
    <col min="15379" max="15379" width="9" style="2" customWidth="1"/>
    <col min="15380" max="15380" width="18.625" style="2" customWidth="1"/>
    <col min="15381" max="15381" width="0" style="2" hidden="1" customWidth="1"/>
    <col min="15382" max="15400" width="13.25" style="2" customWidth="1"/>
    <col min="15401" max="15634" width="9" style="2"/>
    <col min="15635" max="15635" width="9" style="2" customWidth="1"/>
    <col min="15636" max="15636" width="18.625" style="2" customWidth="1"/>
    <col min="15637" max="15637" width="0" style="2" hidden="1" customWidth="1"/>
    <col min="15638" max="15656" width="13.25" style="2" customWidth="1"/>
    <col min="15657" max="15890" width="9" style="2"/>
    <col min="15891" max="15891" width="9" style="2" customWidth="1"/>
    <col min="15892" max="15892" width="18.625" style="2" customWidth="1"/>
    <col min="15893" max="15893" width="0" style="2" hidden="1" customWidth="1"/>
    <col min="15894" max="15912" width="13.25" style="2" customWidth="1"/>
    <col min="15913" max="16146" width="9" style="2"/>
    <col min="16147" max="16147" width="9" style="2" customWidth="1"/>
    <col min="16148" max="16148" width="18.625" style="2" customWidth="1"/>
    <col min="16149" max="16149" width="0" style="2" hidden="1" customWidth="1"/>
    <col min="16150" max="16168" width="13.25" style="2" customWidth="1"/>
    <col min="16169" max="16384" width="9" style="2"/>
  </cols>
  <sheetData>
    <row r="1" spans="1:40" ht="21" x14ac:dyDescent="0.2">
      <c r="A1" s="1"/>
      <c r="B1" s="1"/>
      <c r="C1" s="235"/>
      <c r="D1" s="235"/>
      <c r="E1" s="235"/>
      <c r="F1" s="235"/>
      <c r="G1" s="235"/>
      <c r="H1" s="235"/>
      <c r="I1" s="235"/>
      <c r="J1" s="95"/>
      <c r="K1" s="235"/>
      <c r="L1" s="235"/>
      <c r="M1" s="235"/>
      <c r="N1" s="235"/>
      <c r="O1" s="235"/>
      <c r="P1" s="235"/>
      <c r="Q1" s="235"/>
      <c r="R1" s="235"/>
      <c r="S1" s="235"/>
      <c r="T1" s="95"/>
      <c r="U1" s="235"/>
      <c r="V1" s="235"/>
      <c r="W1" s="235"/>
      <c r="X1" s="235"/>
      <c r="Y1" s="235"/>
      <c r="Z1" s="235"/>
      <c r="AA1" s="235"/>
      <c r="AB1" s="9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</row>
    <row r="2" spans="1:40" ht="19.5" thickBot="1" x14ac:dyDescent="0.2">
      <c r="A2" s="236" t="s">
        <v>168</v>
      </c>
      <c r="B2" s="236"/>
    </row>
    <row r="3" spans="1:40" ht="21" customHeight="1" thickTop="1" thickBot="1" x14ac:dyDescent="0.2">
      <c r="A3" s="220" t="s">
        <v>0</v>
      </c>
      <c r="B3" s="221"/>
      <c r="C3" s="222" t="s">
        <v>1</v>
      </c>
      <c r="D3" s="223"/>
      <c r="E3" s="222" t="s">
        <v>2</v>
      </c>
      <c r="F3" s="223"/>
      <c r="G3" s="222" t="s">
        <v>3</v>
      </c>
      <c r="H3" s="223"/>
      <c r="I3" s="224" t="s">
        <v>4</v>
      </c>
      <c r="J3" s="225"/>
      <c r="K3" s="234" t="s">
        <v>5</v>
      </c>
      <c r="L3" s="223"/>
      <c r="M3" s="222" t="s">
        <v>6</v>
      </c>
      <c r="N3" s="223"/>
      <c r="O3" s="222" t="s">
        <v>7</v>
      </c>
      <c r="P3" s="223"/>
      <c r="Q3" s="216" t="s">
        <v>8</v>
      </c>
      <c r="R3" s="217"/>
      <c r="S3" s="226" t="s">
        <v>9</v>
      </c>
      <c r="T3" s="227"/>
      <c r="U3" s="234" t="s">
        <v>10</v>
      </c>
      <c r="V3" s="223"/>
      <c r="W3" s="222" t="s">
        <v>11</v>
      </c>
      <c r="X3" s="223"/>
      <c r="Y3" s="222" t="s">
        <v>12</v>
      </c>
      <c r="Z3" s="223"/>
      <c r="AA3" s="216" t="s">
        <v>13</v>
      </c>
      <c r="AB3" s="217"/>
      <c r="AC3" s="234" t="s">
        <v>14</v>
      </c>
      <c r="AD3" s="223"/>
      <c r="AE3" s="222" t="s">
        <v>15</v>
      </c>
      <c r="AF3" s="223"/>
      <c r="AG3" s="222" t="s">
        <v>16</v>
      </c>
      <c r="AH3" s="223"/>
      <c r="AI3" s="216" t="s">
        <v>17</v>
      </c>
      <c r="AJ3" s="217"/>
      <c r="AK3" s="226" t="s">
        <v>18</v>
      </c>
      <c r="AL3" s="227"/>
      <c r="AM3" s="228" t="s">
        <v>19</v>
      </c>
      <c r="AN3" s="229"/>
    </row>
    <row r="4" spans="1:40" ht="21" customHeight="1" thickTop="1" thickBot="1" x14ac:dyDescent="0.2">
      <c r="A4" s="230" t="s">
        <v>0</v>
      </c>
      <c r="B4" s="231"/>
      <c r="C4" s="30" t="s">
        <v>20</v>
      </c>
      <c r="D4" s="94" t="s">
        <v>83</v>
      </c>
      <c r="E4" s="30" t="s">
        <v>20</v>
      </c>
      <c r="F4" s="94" t="s">
        <v>83</v>
      </c>
      <c r="G4" s="30" t="s">
        <v>20</v>
      </c>
      <c r="H4" s="183" t="s">
        <v>83</v>
      </c>
      <c r="I4" s="30" t="s">
        <v>20</v>
      </c>
      <c r="J4" s="94" t="s">
        <v>83</v>
      </c>
      <c r="K4" s="56" t="s">
        <v>20</v>
      </c>
      <c r="L4" s="94" t="s">
        <v>83</v>
      </c>
      <c r="M4" s="30" t="s">
        <v>20</v>
      </c>
      <c r="N4" s="94" t="s">
        <v>83</v>
      </c>
      <c r="O4" s="30" t="s">
        <v>20</v>
      </c>
      <c r="P4" s="183" t="s">
        <v>83</v>
      </c>
      <c r="Q4" s="30" t="s">
        <v>20</v>
      </c>
      <c r="R4" s="94" t="s">
        <v>83</v>
      </c>
      <c r="S4" s="30" t="s">
        <v>20</v>
      </c>
      <c r="T4" s="94" t="s">
        <v>83</v>
      </c>
      <c r="U4" s="56" t="s">
        <v>20</v>
      </c>
      <c r="V4" s="94" t="s">
        <v>83</v>
      </c>
      <c r="W4" s="30" t="s">
        <v>20</v>
      </c>
      <c r="X4" s="94" t="s">
        <v>83</v>
      </c>
      <c r="Y4" s="30" t="s">
        <v>20</v>
      </c>
      <c r="Z4" s="94" t="s">
        <v>83</v>
      </c>
      <c r="AA4" s="30" t="s">
        <v>20</v>
      </c>
      <c r="AB4" s="94" t="s">
        <v>83</v>
      </c>
      <c r="AC4" s="56" t="s">
        <v>20</v>
      </c>
      <c r="AD4" s="94" t="s">
        <v>83</v>
      </c>
      <c r="AE4" s="30" t="s">
        <v>20</v>
      </c>
      <c r="AF4" s="94" t="s">
        <v>83</v>
      </c>
      <c r="AG4" s="30" t="s">
        <v>20</v>
      </c>
      <c r="AH4" s="94" t="s">
        <v>83</v>
      </c>
      <c r="AI4" s="30" t="s">
        <v>20</v>
      </c>
      <c r="AJ4" s="94" t="s">
        <v>83</v>
      </c>
      <c r="AK4" s="30" t="s">
        <v>20</v>
      </c>
      <c r="AL4" s="94" t="s">
        <v>83</v>
      </c>
      <c r="AM4" s="56" t="s">
        <v>20</v>
      </c>
      <c r="AN4" s="94" t="s">
        <v>83</v>
      </c>
    </row>
    <row r="5" spans="1:40" ht="20.25" customHeight="1" thickBot="1" x14ac:dyDescent="0.2">
      <c r="A5" s="232" t="s">
        <v>21</v>
      </c>
      <c r="B5" s="233"/>
      <c r="C5" s="149">
        <f>①!C5+②!C5+④!C5+⑤!C5+③!C5+⑥!C5+H!C5</f>
        <v>199669275</v>
      </c>
      <c r="D5" s="115">
        <f>①!D5+②!D5+④!D5+⑤!D5+③!D5+⑥!D5+H!D5</f>
        <v>202622421</v>
      </c>
      <c r="E5" s="149">
        <f>①!E5+②!E5+④!E5+⑤!E5+③!E5+⑥!E5+H!E5</f>
        <v>230602675</v>
      </c>
      <c r="F5" s="115">
        <f>①!F5+②!F5+④!F5+⑤!F5+③!F5+⑥!F5+H!F5</f>
        <v>230660581</v>
      </c>
      <c r="G5" s="149">
        <f>①!G5+②!G5+④!G5+⑤!G5+③!G5+⑥!G5+H!G5</f>
        <v>216561475</v>
      </c>
      <c r="H5" s="115">
        <f>①!H5+②!H5+④!H5+⑤!H5+③!H5+⑥!H5+H!H5</f>
        <v>223481922</v>
      </c>
      <c r="I5" s="41">
        <f>C5+E5+G5</f>
        <v>646833425</v>
      </c>
      <c r="J5" s="115">
        <f>D5+F5+H5</f>
        <v>656764924</v>
      </c>
      <c r="K5" s="127">
        <f>①!K5+②!K5+④!K5+⑤!K5+③!K5+⑥!K5+H!K5</f>
        <v>220227995</v>
      </c>
      <c r="L5" s="119">
        <f>①!L5+②!L5+④!L5+⑤!L5+③!L5+⑥!L5+H!L5</f>
        <v>219115899</v>
      </c>
      <c r="M5" s="149">
        <f>①!M5+②!M5+④!M5+⑤!M5+③!M5+⑥!M5+H!M5</f>
        <v>245865915</v>
      </c>
      <c r="N5" s="115">
        <f>①!N5+②!N5+④!N5+⑤!N5+③!N5+⑥!N5+H!N5</f>
        <v>240361342</v>
      </c>
      <c r="O5" s="149">
        <f>①!O5+②!O5+④!O5+⑤!O5+③!O5+⑥!O5+H!O5</f>
        <v>236673870</v>
      </c>
      <c r="P5" s="115">
        <f>①!P5+②!P5+④!P5+⑤!P5+③!P5+⑥!P5</f>
        <v>229292049</v>
      </c>
      <c r="Q5" s="41">
        <f>K5+M5+O5</f>
        <v>702767780</v>
      </c>
      <c r="R5" s="115">
        <f>L5+N5+P5</f>
        <v>688769290</v>
      </c>
      <c r="S5" s="149">
        <f>I5+Q5</f>
        <v>1349601205</v>
      </c>
      <c r="T5" s="115">
        <f>J5+R5</f>
        <v>1345534214</v>
      </c>
      <c r="U5" s="127">
        <f>①!U5+②!U5+④!U5+⑤!U5+③!U5+⑥!U5+H!U5</f>
        <v>246948230</v>
      </c>
      <c r="V5" s="115">
        <f>①!V5+②!V5+④!V5+⑤!V5+③!V5+⑥!V5+H!V5</f>
        <v>236963136</v>
      </c>
      <c r="W5" s="149">
        <f>①!W5+②!W5+④!W5+⑤!W5+③!W5+⑥!W5+H!W5</f>
        <v>245205790</v>
      </c>
      <c r="X5" s="115">
        <f>①!X5+②!X5+④!X5+⑤!X5+③!X5+⑥!X5+H!X5</f>
        <v>233475958</v>
      </c>
      <c r="Y5" s="149">
        <f>①!Y5+②!Y5+④!Y5+⑤!Y5+③!Y5+⑥!Y5+H!Y5</f>
        <v>256423350</v>
      </c>
      <c r="Z5" s="115">
        <f>①!Z5+②!Z5+④!Z5+⑤!Z5+③!Z5+⑥!Z5+H!Z5</f>
        <v>233383667</v>
      </c>
      <c r="AA5" s="41">
        <f>U5+W5+Y5</f>
        <v>748577370</v>
      </c>
      <c r="AB5" s="115">
        <f>V5+X5+Z5</f>
        <v>703822761</v>
      </c>
      <c r="AC5" s="127">
        <f>①!AC5+②!AC5+④!AC5+⑤!AC5+③!AC5+⑥!AC5+H!AC5</f>
        <v>260201590</v>
      </c>
      <c r="AD5" s="115">
        <f>①!AD5+②!AD5+④!AD5+⑤!AD5+③!AD5+⑥!AD5+H!AD5</f>
        <v>230679159</v>
      </c>
      <c r="AE5" s="149">
        <f>①!AE5+②!AE5+④!AE5+⑤!AE5+③!AE5+⑥!AE5+H!AE5</f>
        <v>270825430</v>
      </c>
      <c r="AF5" s="115">
        <f>①!AF5+②!AF5+④!AF5+⑤!AF5+③!AF5+⑥!AF5+H!AF5</f>
        <v>230059870</v>
      </c>
      <c r="AG5" s="149">
        <f>①!AG5+②!AG5+④!AG5+⑤!AG5+③!AG5+⑥!AG5+H!AG5</f>
        <v>257217870</v>
      </c>
      <c r="AH5" s="115">
        <f>①!AH5+②!AH5+④!AH5+⑤!AH5+③!AH5+⑥!AH5+H!AH5</f>
        <v>224791131</v>
      </c>
      <c r="AI5" s="41">
        <f>AC5+AE5+AG5</f>
        <v>788244890</v>
      </c>
      <c r="AJ5" s="115">
        <f>AD5+AF5+AH5</f>
        <v>685530160</v>
      </c>
      <c r="AK5" s="149">
        <f>AA5+AI5</f>
        <v>1536822260</v>
      </c>
      <c r="AL5" s="115">
        <f>AB5+AJ5</f>
        <v>1389352921</v>
      </c>
      <c r="AM5" s="127">
        <f>SUM(C5,E5,G5,K5,M5,O5,U5,W5,Y5,AC5,AE5,AG5)</f>
        <v>2886423465</v>
      </c>
      <c r="AN5" s="115">
        <f>SUM(D5,F5,H5,L5,N5,P5,V5,X5,Z5,AD5,AF5,AH5)</f>
        <v>2734887135</v>
      </c>
    </row>
    <row r="6" spans="1:40" ht="20.25" customHeight="1" x14ac:dyDescent="0.15">
      <c r="A6" s="25" t="s">
        <v>76</v>
      </c>
      <c r="B6" s="29" t="s">
        <v>64</v>
      </c>
      <c r="C6" s="37">
        <f>①!C6+②!C6+④!C6+⑤!C6+③!C6+⑥!C6+H!C6</f>
        <v>125417991.63206826</v>
      </c>
      <c r="D6" s="9">
        <f>①!D6+②!D6+④!D6+⑤!D6+③!D6+⑥!D6+H!D6</f>
        <v>118705629</v>
      </c>
      <c r="E6" s="37">
        <f>①!E6+②!E6+④!E6+⑤!E6+③!E6+⑥!E6+H!E6</f>
        <v>144837490.17752665</v>
      </c>
      <c r="F6" s="9">
        <f>①!F6+②!F6+④!F6+⑤!F6+③!F6+⑥!F6+H!F6</f>
        <v>138898309</v>
      </c>
      <c r="G6" s="37">
        <f>①!G6+②!G6+④!G6+⑤!G6+③!G6+⑥!G6+H!G6</f>
        <v>136305236.51064685</v>
      </c>
      <c r="H6" s="9">
        <f>①!H6+②!H6+④!H6+⑤!H6+③!H6+⑥!H6+H!H6</f>
        <v>131955654</v>
      </c>
      <c r="I6" s="37">
        <f t="shared" ref="I6:J19" si="0">C6+E6+G6</f>
        <v>406560718.32024181</v>
      </c>
      <c r="J6" s="9">
        <f>D6+F6+H6</f>
        <v>389559592</v>
      </c>
      <c r="K6" s="63">
        <f>①!K6+②!K6+④!K6+⑤!K6+③!K6+⑥!K6+H!K6</f>
        <v>138569732.14702204</v>
      </c>
      <c r="L6" s="49">
        <f>①!L6+②!L6+④!L6+⑤!L6+③!L6+⑥!L6+H!L6</f>
        <v>128313656</v>
      </c>
      <c r="M6" s="37">
        <f>①!M6+②!M6+④!M6+⑤!M6+③!M6+⑥!M6+H!M6</f>
        <v>154658729.23793882</v>
      </c>
      <c r="N6" s="9">
        <f>①!N6+②!N6+④!N6+⑤!N6+③!N6+⑥!N6+H!N6</f>
        <v>145075405</v>
      </c>
      <c r="O6" s="37">
        <f>①!O6+②!O6+④!O6+⑤!O6+③!O6+⑥!O6+H!O6</f>
        <v>148256227.78339726</v>
      </c>
      <c r="P6" s="9">
        <f>①!P6+②!P6+④!P6+⑤!P6+③!P6+⑥!P6+H!P6</f>
        <v>133982877</v>
      </c>
      <c r="Q6" s="37">
        <f t="shared" ref="Q6:R19" si="1">K6+M6+O6</f>
        <v>441484689.16835815</v>
      </c>
      <c r="R6" s="9">
        <f>L6+N6+P6</f>
        <v>407371938</v>
      </c>
      <c r="S6" s="37">
        <f t="shared" ref="S6:T19" si="2">I6+Q6</f>
        <v>848045407.48860002</v>
      </c>
      <c r="T6" s="9">
        <f>J6+R6</f>
        <v>796931530</v>
      </c>
      <c r="U6" s="63">
        <f>①!U6+②!U6+④!U6+⑤!U6+③!U6+⑥!U6+H!U6</f>
        <v>154764726.32885563</v>
      </c>
      <c r="V6" s="9">
        <f>①!V6+②!V6+④!V6+⑤!V6+③!V6+⑥!V6+H!V6</f>
        <v>143158863</v>
      </c>
      <c r="W6" s="37">
        <f>①!W6+②!W6+④!W6+⑤!W6+③!W6+⑥!W6+H!W6</f>
        <v>153434224.87431404</v>
      </c>
      <c r="X6" s="9">
        <f>①!X6+②!X6+④!X6+⑤!X6+③!X6+⑥!X6+H!X6</f>
        <v>135534971</v>
      </c>
      <c r="Y6" s="37">
        <f>①!Y6+②!Y6+④!Y6+⑤!Y6+③!Y6+⑥!Y6+H!Y6</f>
        <v>160942152.89982718</v>
      </c>
      <c r="Z6" s="9">
        <f>①!Z6+②!Z6+④!Z6+⑤!Z6+③!Z6+⑥!Z6+H!Z6</f>
        <v>135959223</v>
      </c>
      <c r="AA6" s="37">
        <f t="shared" ref="AA6:AB19" si="3">U6+W6+Y6</f>
        <v>469141104.10299689</v>
      </c>
      <c r="AB6" s="9">
        <f t="shared" si="3"/>
        <v>414653057</v>
      </c>
      <c r="AC6" s="63">
        <f>①!AC6+②!AC6+④!AC6+⑤!AC6+③!AC6+⑥!AC6+H!AC6</f>
        <v>163070152.89982718</v>
      </c>
      <c r="AD6" s="9">
        <f>①!AD6+②!AD6+④!AD6+⑤!AD6+③!AD6+⑥!AD6+H!AD6</f>
        <v>135829311</v>
      </c>
      <c r="AE6" s="37">
        <f>①!AE6+②!AE6+④!AE6+⑤!AE6+③!AE6+⑥!AE6+H!AE6</f>
        <v>169857152.89982718</v>
      </c>
      <c r="AF6" s="9">
        <f>①!AF6+②!AF6+④!AF6+⑤!AF6+③!AF6+⑥!AF6+H!AF6</f>
        <v>134500968</v>
      </c>
      <c r="AG6" s="37">
        <f>①!AG6+②!AG6+④!AG6+⑤!AG6+③!AG6+⑥!AG6+H!AG6</f>
        <v>162496503.67465544</v>
      </c>
      <c r="AH6" s="9">
        <f>①!AH6+②!AH6+④!AH6+⑤!AH6+③!AH6+⑥!AH6+H!AH6</f>
        <v>130036299</v>
      </c>
      <c r="AI6" s="37">
        <f t="shared" ref="AI6:AJ19" si="4">AC6+AE6+AG6</f>
        <v>495423809.4743098</v>
      </c>
      <c r="AJ6" s="9">
        <f t="shared" si="4"/>
        <v>400366578</v>
      </c>
      <c r="AK6" s="37">
        <f t="shared" ref="AK6:AL19" si="5">AA6+AI6</f>
        <v>964564913.57730675</v>
      </c>
      <c r="AL6" s="9">
        <f>AB6+AJ6</f>
        <v>815019635</v>
      </c>
      <c r="AM6" s="63">
        <f t="shared" ref="AM6:AM19" si="6">SUM(C6,E6,G6,K6,M6,O6,U6,W6,Y6,AC6,AE6,AG6)</f>
        <v>1812610321.0659065</v>
      </c>
      <c r="AN6" s="9">
        <f t="shared" ref="AN6:AN20" si="7">SUM(D6,F6,H6,L6,N6,P6,V6,X6,Z6,AD6,AF6,AH6)</f>
        <v>1611951165</v>
      </c>
    </row>
    <row r="7" spans="1:40" ht="20.25" customHeight="1" x14ac:dyDescent="0.15">
      <c r="A7" s="21" t="s">
        <v>77</v>
      </c>
      <c r="B7" s="5" t="s">
        <v>65</v>
      </c>
      <c r="C7" s="150">
        <f>①!C7+②!C7+④!C7+⑤!C7+③!C7+⑥!C7+H!C7</f>
        <v>2420610.4138649367</v>
      </c>
      <c r="D7" s="116">
        <f>①!D7+②!D7+④!D7+⑤!D7+③!D7+⑥!D7+H!D7</f>
        <v>3111595</v>
      </c>
      <c r="E7" s="150">
        <f>①!E7+②!E7+④!E7+⑤!E7+③!E7+⑥!E7+H!E7</f>
        <v>2420810.4138649367</v>
      </c>
      <c r="F7" s="116">
        <f>①!F7+②!F7+④!F7+⑤!F7+③!F7+⑥!F7+H!F7</f>
        <v>3581909</v>
      </c>
      <c r="G7" s="150">
        <f>①!G7+②!G7+④!G7+⑤!G7+③!G7+⑥!G7+H!G7</f>
        <v>2389213.0173311704</v>
      </c>
      <c r="H7" s="116">
        <f>①!H7+②!H7+④!H7+⑤!H7+③!H7+⑥!H7+H!H7</f>
        <v>3504995</v>
      </c>
      <c r="I7" s="150">
        <f t="shared" si="0"/>
        <v>7230633.8450610433</v>
      </c>
      <c r="J7" s="116">
        <f t="shared" si="0"/>
        <v>10198499</v>
      </c>
      <c r="K7" s="128">
        <f>①!K7+②!K7+④!K7+⑤!K7+③!K7+⑥!K7+H!K7</f>
        <v>2488013.0173311704</v>
      </c>
      <c r="L7" s="120">
        <f>①!L7+②!L7+④!L7+⑤!L7+③!L7+⑥!L7+H!L7</f>
        <v>3509634</v>
      </c>
      <c r="M7" s="150">
        <f>①!M7+②!M7+④!M7+⑤!M7+③!M7+⑥!M7+H!M7</f>
        <v>2439213.0173311704</v>
      </c>
      <c r="N7" s="116">
        <f>①!N7+②!N7+④!N7+⑤!N7+③!N7+⑥!N7+H!N7</f>
        <v>4658889</v>
      </c>
      <c r="O7" s="150">
        <f>①!O7+②!O7+④!O7+⑤!O7+③!O7+⑥!O7+H!O7</f>
        <v>2439213.0173311704</v>
      </c>
      <c r="P7" s="116">
        <f>①!P7+②!P7+④!P7+⑤!P7+③!P7+⑥!P7+H!P7</f>
        <v>4087842</v>
      </c>
      <c r="Q7" s="150">
        <f t="shared" si="1"/>
        <v>7366439.0519935116</v>
      </c>
      <c r="R7" s="116">
        <f t="shared" si="1"/>
        <v>12256365</v>
      </c>
      <c r="S7" s="150">
        <f t="shared" si="2"/>
        <v>14597072.897054555</v>
      </c>
      <c r="T7" s="116">
        <f t="shared" si="2"/>
        <v>22454864</v>
      </c>
      <c r="U7" s="128">
        <f>①!U7+②!U7+④!U7+⑤!U7+③!U7+⑥!U7+H!U7</f>
        <v>2439213.0173311704</v>
      </c>
      <c r="V7" s="116">
        <f>①!V7+②!V7+④!V7+⑤!V7+③!V7+⑥!V7+H!V7</f>
        <v>4115836</v>
      </c>
      <c r="W7" s="150">
        <f>①!W7+②!W7+④!W7+⑤!W7+③!W7+⑥!W7+H!W7</f>
        <v>2469213.0173311704</v>
      </c>
      <c r="X7" s="116">
        <f>①!X7+②!X7+④!X7+⑤!X7+③!X7+⑥!X7+H!X7</f>
        <v>4125025</v>
      </c>
      <c r="Y7" s="150">
        <f>①!Y7+②!Y7+④!Y7+⑤!Y7+③!Y7+⑥!Y7+H!Y7</f>
        <v>2506018.2242636387</v>
      </c>
      <c r="Z7" s="116">
        <f>①!Z7+②!Z7+④!Z7+⑤!Z7+③!Z7+⑥!Z7+H!Z7</f>
        <v>4781141</v>
      </c>
      <c r="AA7" s="150">
        <f t="shared" si="3"/>
        <v>7414444.25892598</v>
      </c>
      <c r="AB7" s="116">
        <f t="shared" si="3"/>
        <v>13022002</v>
      </c>
      <c r="AC7" s="128">
        <f>①!AC7+②!AC7+④!AC7+⑤!AC7+③!AC7+⑥!AC7+H!AC7</f>
        <v>2506018.2242636387</v>
      </c>
      <c r="AD7" s="116">
        <f>①!AD7+②!AD7+④!AD7+⑤!AD7+③!AD7+⑥!AD7+H!AD7</f>
        <v>4287188</v>
      </c>
      <c r="AE7" s="150">
        <f>①!AE7+②!AE7+④!AE7+⑤!AE7+③!AE7+⑥!AE7+H!AE7</f>
        <v>2554818.2242636387</v>
      </c>
      <c r="AF7" s="116">
        <f>①!AF7+②!AF7+④!AF7+⑤!AF7+③!AF7+⑥!AF7+H!AF7</f>
        <v>4928748</v>
      </c>
      <c r="AG7" s="150">
        <f>①!AG7+②!AG7+④!AG7+⑤!AG7+③!AG7+⑥!AG7+H!AG7</f>
        <v>2579355.0288852844</v>
      </c>
      <c r="AH7" s="116">
        <f>①!AH7+②!AH7+④!AH7+⑤!AH7+③!AH7+⑥!AH7+H!AH7</f>
        <v>4745098</v>
      </c>
      <c r="AI7" s="150">
        <f t="shared" si="4"/>
        <v>7640191.4774125619</v>
      </c>
      <c r="AJ7" s="116">
        <f t="shared" si="4"/>
        <v>13961034</v>
      </c>
      <c r="AK7" s="150">
        <f t="shared" si="5"/>
        <v>15054635.736338541</v>
      </c>
      <c r="AL7" s="116">
        <f t="shared" si="5"/>
        <v>26983036</v>
      </c>
      <c r="AM7" s="128">
        <f t="shared" si="6"/>
        <v>29651708.633393094</v>
      </c>
      <c r="AN7" s="116">
        <f t="shared" si="7"/>
        <v>49437900</v>
      </c>
    </row>
    <row r="8" spans="1:40" ht="20.25" customHeight="1" x14ac:dyDescent="0.15">
      <c r="A8" s="23"/>
      <c r="B8" s="5" t="s">
        <v>66</v>
      </c>
      <c r="C8" s="150">
        <f>①!C8+②!C8+④!C8+⑤!C8+③!C8+⑥!C8+H!C8</f>
        <v>2706094.195645934</v>
      </c>
      <c r="D8" s="116">
        <f>①!D8+②!D8+④!D8+⑤!D8+③!D8+⑥!D8+H!D8</f>
        <v>5810846</v>
      </c>
      <c r="E8" s="150">
        <f>①!E8+②!E8+④!E8+⑤!E8+③!E8+⑥!E8+H!E8</f>
        <v>2719757.4312675339</v>
      </c>
      <c r="F8" s="116">
        <f>①!F8+②!F8+④!F8+⑤!F8+③!F8+⑥!F8+H!F8</f>
        <v>7212510</v>
      </c>
      <c r="G8" s="150">
        <f>①!G8+②!G8+④!G8+⑤!G8+③!G8+⑥!G8+H!G8</f>
        <v>2796638.0908954074</v>
      </c>
      <c r="H8" s="116">
        <f>①!H8+②!H8+④!H8+⑤!H8+③!H8+⑥!H8+H!H8</f>
        <v>8305238</v>
      </c>
      <c r="I8" s="150">
        <f t="shared" si="0"/>
        <v>8222489.7178088743</v>
      </c>
      <c r="J8" s="116">
        <f t="shared" si="0"/>
        <v>21328594</v>
      </c>
      <c r="K8" s="128">
        <f>①!K8+②!K8+④!K8+⑤!K8+③!K8+⑥!K8+H!K8</f>
        <v>2822627.7977602077</v>
      </c>
      <c r="L8" s="120">
        <f>①!L8+②!L8+④!L8+⑤!L8+③!L8+⑥!L8+H!L8</f>
        <v>7841704</v>
      </c>
      <c r="M8" s="150">
        <f>①!M8+②!M8+④!M8+⑤!M8+③!M8+⑥!M8+H!M8</f>
        <v>2839954.2690034076</v>
      </c>
      <c r="N8" s="116">
        <f>①!N8+②!N8+④!N8+⑤!N8+③!N8+⑥!N8+H!N8</f>
        <v>8408832</v>
      </c>
      <c r="O8" s="150">
        <f>①!O8+②!O8+④!O8+⑤!O8+③!O8+⑥!O8+H!O8</f>
        <v>2848617.5046250075</v>
      </c>
      <c r="P8" s="116">
        <f>①!P8+②!P8+④!P8+⑤!P8+③!P8+⑥!P8+H!P8</f>
        <v>10098170</v>
      </c>
      <c r="Q8" s="150">
        <f t="shared" si="1"/>
        <v>8511199.5713886227</v>
      </c>
      <c r="R8" s="116">
        <f t="shared" si="1"/>
        <v>26348706</v>
      </c>
      <c r="S8" s="150">
        <f t="shared" si="2"/>
        <v>16733689.289197497</v>
      </c>
      <c r="T8" s="116">
        <f t="shared" si="2"/>
        <v>47677300</v>
      </c>
      <c r="U8" s="128">
        <f>①!U8+②!U8+④!U8+⑤!U8+③!U8+⑥!U8+H!U8</f>
        <v>2857280.7402466075</v>
      </c>
      <c r="V8" s="116">
        <f>①!V8+②!V8+④!V8+⑤!V8+③!V8+⑥!V8+H!V8</f>
        <v>9168121</v>
      </c>
      <c r="W8" s="150">
        <f>①!W8+②!W8+④!W8+⑤!W8+③!W8+⑥!W8+H!W8</f>
        <v>2905943.9758682074</v>
      </c>
      <c r="X8" s="116">
        <f>①!X8+②!X8+④!X8+⑤!X8+③!X8+⑥!X8+H!X8</f>
        <v>10117805</v>
      </c>
      <c r="Y8" s="150">
        <f>①!Y8+②!Y8+④!Y8+⑤!Y8+③!Y8+⑥!Y8+H!Y8</f>
        <v>2961489.6902111545</v>
      </c>
      <c r="Z8" s="116">
        <f>①!Z8+②!Z8+④!Z8+⑤!Z8+③!Z8+⑥!Z8+H!Z8</f>
        <v>10456630</v>
      </c>
      <c r="AA8" s="150">
        <f t="shared" si="3"/>
        <v>8724714.4063259698</v>
      </c>
      <c r="AB8" s="116">
        <f t="shared" si="3"/>
        <v>29742556</v>
      </c>
      <c r="AC8" s="128">
        <f>①!AC8+②!AC8+④!AC8+⑤!AC8+③!AC8+⑥!AC8+H!AC8</f>
        <v>2961489.6902111545</v>
      </c>
      <c r="AD8" s="116">
        <f>①!AD8+②!AD8+④!AD8+⑤!AD8+③!AD8+⑥!AD8+H!AD8</f>
        <v>9040800</v>
      </c>
      <c r="AE8" s="150">
        <f>①!AE8+②!AE8+④!AE8+⑤!AE8+③!AE8+⑥!AE8+H!AE8</f>
        <v>2961489.6902111545</v>
      </c>
      <c r="AF8" s="116">
        <f>①!AF8+②!AF8+④!AF8+⑤!AF8+③!AF8+⑥!AF8+H!AF8</f>
        <v>10559416</v>
      </c>
      <c r="AG8" s="150">
        <f>①!AG8+②!AG8+④!AG8+⑤!AG8+③!AG8+⑥!AG8+H!AG8</f>
        <v>2983439.8689803192</v>
      </c>
      <c r="AH8" s="116">
        <f>①!AH8+②!AH8+④!AH8+⑤!AH8+③!AH8+⑥!AH8+H!AH8</f>
        <v>10403392</v>
      </c>
      <c r="AI8" s="150">
        <f t="shared" si="4"/>
        <v>8906419.2494026273</v>
      </c>
      <c r="AJ8" s="116">
        <f t="shared" si="4"/>
        <v>30003608</v>
      </c>
      <c r="AK8" s="150">
        <f t="shared" si="5"/>
        <v>17631133.655728597</v>
      </c>
      <c r="AL8" s="116">
        <f t="shared" si="5"/>
        <v>59746164</v>
      </c>
      <c r="AM8" s="128">
        <f t="shared" si="6"/>
        <v>34364822.944926098</v>
      </c>
      <c r="AN8" s="116">
        <f t="shared" si="7"/>
        <v>107423464</v>
      </c>
    </row>
    <row r="9" spans="1:40" ht="20.25" customHeight="1" x14ac:dyDescent="0.15">
      <c r="A9" s="23"/>
      <c r="B9" s="5" t="s">
        <v>22</v>
      </c>
      <c r="C9" s="151">
        <f>①!C9+②!C9+④!C9+⑤!C9+③!C9+⑥!C9+H!C9</f>
        <v>7099406.5573872058</v>
      </c>
      <c r="D9" s="117">
        <f>①!D9+②!D9+④!D9+⑤!D9+③!D9+⑥!D9+H!D9</f>
        <v>6743404</v>
      </c>
      <c r="E9" s="151">
        <f>①!E9+②!E9+④!E9+⑤!E9+③!E9+⑥!E9+H!E9</f>
        <v>8290151.0244534742</v>
      </c>
      <c r="F9" s="117">
        <f>①!F9+②!F9+④!F9+⑤!F9+③!F9+⑥!F9+H!F9</f>
        <v>6654646</v>
      </c>
      <c r="G9" s="151">
        <f>①!G9+②!G9+④!G9+⑤!G9+③!G9+⑥!G9+H!G9</f>
        <v>7687506.2448363435</v>
      </c>
      <c r="H9" s="117">
        <f>①!H9+②!H9+④!H9+⑤!H9+③!H9+⑥!H9+H!H9</f>
        <v>6613377</v>
      </c>
      <c r="I9" s="151">
        <f t="shared" si="0"/>
        <v>23077063.826677024</v>
      </c>
      <c r="J9" s="117">
        <f t="shared" si="0"/>
        <v>20011427</v>
      </c>
      <c r="K9" s="129">
        <f>①!K9+②!K9+④!K9+⑤!K9+③!K9+⑥!K9+H!K9</f>
        <v>7795075.7224763427</v>
      </c>
      <c r="L9" s="121">
        <f>①!L9+②!L9+④!L9+⑤!L9+③!L9+⑥!L9+H!L9</f>
        <v>6833516</v>
      </c>
      <c r="M9" s="151">
        <f>①!M9+②!M9+④!M9+⑤!M9+③!M9+⑥!M9+H!M9</f>
        <v>8729771.3742363434</v>
      </c>
      <c r="N9" s="117">
        <f>①!N9+②!N9+④!N9+⑤!N9+③!N9+⑥!N9+H!N9</f>
        <v>6890317</v>
      </c>
      <c r="O9" s="151">
        <f>①!O9+②!O9+④!O9+⑤!O9+③!O9+⑥!O9+H!O9</f>
        <v>8322256.0001163427</v>
      </c>
      <c r="P9" s="117">
        <f>①!P9+②!P9+④!P9+⑤!P9+③!P9+⑥!P9+H!P9</f>
        <v>7005087</v>
      </c>
      <c r="Q9" s="151">
        <f t="shared" si="1"/>
        <v>24847103.096829027</v>
      </c>
      <c r="R9" s="117">
        <f t="shared" si="1"/>
        <v>20728920</v>
      </c>
      <c r="S9" s="151">
        <f t="shared" si="2"/>
        <v>47924166.923506051</v>
      </c>
      <c r="T9" s="117">
        <f t="shared" si="2"/>
        <v>40740347</v>
      </c>
      <c r="U9" s="129">
        <f>①!U9+②!U9+④!U9+⑤!U9+③!U9+⑥!U9+H!U9</f>
        <v>8684802.6259963438</v>
      </c>
      <c r="V9" s="117">
        <f>①!V9+②!V9+④!V9+⑤!V9+③!V9+⑥!V9+H!V9</f>
        <v>7176476</v>
      </c>
      <c r="W9" s="151">
        <f>①!W9+②!W9+④!W9+⑤!W9+③!W9+⑥!W9+H!W9</f>
        <v>8583449.251876343</v>
      </c>
      <c r="X9" s="117">
        <f>①!X9+②!X9+④!X9+⑤!X9+③!X9+⑥!X9+H!X9</f>
        <v>7236021</v>
      </c>
      <c r="Y9" s="151">
        <f>①!Y9+②!Y9+④!Y9+⑤!Y9+③!Y9+⑥!Y9+H!Y9</f>
        <v>8857828.3686020803</v>
      </c>
      <c r="Z9" s="117">
        <f>①!Z9+②!Z9+④!Z9+⑤!Z9+③!Z9+⑥!Z9+H!Z9</f>
        <v>7401278</v>
      </c>
      <c r="AA9" s="151">
        <f t="shared" si="3"/>
        <v>26126080.246474765</v>
      </c>
      <c r="AB9" s="117">
        <f t="shared" si="3"/>
        <v>21813775</v>
      </c>
      <c r="AC9" s="129">
        <f>①!AC9+②!AC9+④!AC9+⑤!AC9+③!AC9+⑥!AC9+H!AC9</f>
        <v>8963500.3686020803</v>
      </c>
      <c r="AD9" s="117">
        <f>①!AD9+②!AD9+④!AD9+⑤!AD9+③!AD9+⑥!AD9+H!AD9</f>
        <v>7487534</v>
      </c>
      <c r="AE9" s="151">
        <f>①!AE9+②!AE9+④!AE9+⑤!AE9+③!AE9+⑥!AE9+H!AE9</f>
        <v>9348759.9686020799</v>
      </c>
      <c r="AF9" s="117">
        <f>①!AF9+②!AF9+④!AF9+⑤!AF9+③!AF9+⑥!AF9+H!AF9</f>
        <v>7414768</v>
      </c>
      <c r="AG9" s="151">
        <f>①!AG9+②!AG9+④!AG9+⑤!AG9+③!AG9+⑥!AG9+H!AG9</f>
        <v>8779022.121712571</v>
      </c>
      <c r="AH9" s="117">
        <f>①!AH9+②!AH9+④!AH9+⑤!AH9+③!AH9+⑥!AH9+H!AH9</f>
        <v>7453911</v>
      </c>
      <c r="AI9" s="151">
        <f t="shared" si="4"/>
        <v>27091282.458916731</v>
      </c>
      <c r="AJ9" s="117">
        <f t="shared" si="4"/>
        <v>22356213</v>
      </c>
      <c r="AK9" s="151">
        <f t="shared" si="5"/>
        <v>53217362.705391496</v>
      </c>
      <c r="AL9" s="117">
        <f t="shared" si="5"/>
        <v>44169988</v>
      </c>
      <c r="AM9" s="129">
        <f t="shared" si="6"/>
        <v>101141529.62889755</v>
      </c>
      <c r="AN9" s="117">
        <f t="shared" si="7"/>
        <v>84910335</v>
      </c>
    </row>
    <row r="10" spans="1:40" ht="20.25" customHeight="1" x14ac:dyDescent="0.15">
      <c r="A10" s="23"/>
      <c r="B10" s="5" t="s">
        <v>67</v>
      </c>
      <c r="C10" s="151">
        <f>①!C10+②!C10+④!C10+⑤!C10+③!C10+⑥!C10+H!C10</f>
        <v>281847.95077014051</v>
      </c>
      <c r="D10" s="117">
        <f>①!D10+②!D10+④!D10+⑤!D10+③!D10+⑥!D10+H!D10</f>
        <v>876230</v>
      </c>
      <c r="E10" s="151">
        <f>①!E10+②!E10+④!E10+⑤!E10+③!E10+⑥!E10+H!E10</f>
        <v>313087.40002604009</v>
      </c>
      <c r="F10" s="117">
        <f>①!F10+②!F10+④!F10+⑤!F10+③!F10+⑥!F10+H!F10</f>
        <v>790086</v>
      </c>
      <c r="G10" s="151">
        <f>①!G10+②!G10+④!G10+⑤!G10+③!G10+⑥!G10+H!G10</f>
        <v>340994.4463885501</v>
      </c>
      <c r="H10" s="117">
        <f>①!H10+②!H10+④!H10+⑤!H10+③!H10+⑥!H10+H!H10</f>
        <v>785812</v>
      </c>
      <c r="I10" s="151">
        <f t="shared" si="0"/>
        <v>935929.79718473065</v>
      </c>
      <c r="J10" s="117">
        <f t="shared" si="0"/>
        <v>2452128</v>
      </c>
      <c r="K10" s="129">
        <f>①!K10+②!K10+④!K10+⑤!K10+③!K10+⑥!K10+H!K10</f>
        <v>366676.21150855016</v>
      </c>
      <c r="L10" s="121">
        <f>①!L10+②!L10+④!L10+⑤!L10+③!L10+⑥!L10+H!L10</f>
        <v>812036</v>
      </c>
      <c r="M10" s="151">
        <f>①!M10+②!M10+④!M10+⑤!M10+③!M10+⑥!M10+H!M10</f>
        <v>388643.72158855014</v>
      </c>
      <c r="N10" s="117">
        <f>①!N10+②!N10+④!N10+⑤!N10+③!N10+⑥!N10+H!N10</f>
        <v>822163</v>
      </c>
      <c r="O10" s="151">
        <f>①!O10+②!O10+④!O10+⑤!O10+③!O10+⑥!O10+H!O10</f>
        <v>406053.97662855015</v>
      </c>
      <c r="P10" s="117">
        <f>①!P10+②!P10+④!P10+⑤!P10+③!P10+⑥!P10+H!P10</f>
        <v>829084</v>
      </c>
      <c r="Q10" s="151">
        <f t="shared" si="1"/>
        <v>1161373.9097256504</v>
      </c>
      <c r="R10" s="117">
        <f t="shared" si="1"/>
        <v>2463283</v>
      </c>
      <c r="S10" s="151">
        <f t="shared" si="2"/>
        <v>2097303.7069103811</v>
      </c>
      <c r="T10" s="117">
        <f t="shared" si="2"/>
        <v>4915411</v>
      </c>
      <c r="U10" s="129">
        <f>①!U10+②!U10+④!U10+⑤!U10+③!U10+⑥!U10+H!U10</f>
        <v>427642.23166855011</v>
      </c>
      <c r="V10" s="117">
        <f>①!V10+②!V10+④!V10+⑤!V10+③!V10+⑥!V10+H!V10</f>
        <v>850518</v>
      </c>
      <c r="W10" s="151">
        <f>①!W10+②!W10+④!W10+⑤!W10+③!W10+⑥!W10+H!W10</f>
        <v>447655.48670855013</v>
      </c>
      <c r="X10" s="116">
        <f>①!X10+②!X10+④!X10+⑤!X10+③!X10+⑥!X10+H!X10</f>
        <v>863598</v>
      </c>
      <c r="Y10" s="184">
        <f>①!Y10+②!Y10+④!Y10+⑤!Y10+③!Y10+⑥!Y10+H!Y10</f>
        <v>486960.8031135702</v>
      </c>
      <c r="Z10" s="116">
        <f>①!Z10+②!Z10+④!Z10+⑤!Z10+③!Z10+⑥!Z10+H!Z10</f>
        <v>893479</v>
      </c>
      <c r="AA10" s="151">
        <f t="shared" si="3"/>
        <v>1362258.5214906705</v>
      </c>
      <c r="AB10" s="117">
        <f t="shared" si="3"/>
        <v>2607595</v>
      </c>
      <c r="AC10" s="129">
        <f>①!AC10+②!AC10+④!AC10+⑤!AC10+③!AC10+⑥!AC10+H!AC10</f>
        <v>501528.8031135702</v>
      </c>
      <c r="AD10" s="117">
        <f>①!AD10+②!AD10+④!AD10+⑤!AD10+③!AD10+⑥!AD10+H!AD10</f>
        <v>897858</v>
      </c>
      <c r="AE10" s="151">
        <f>①!AE10+②!AE10+④!AE10+⑤!AE10+③!AE10+⑥!AE10+H!AE10</f>
        <v>518415.8031135702</v>
      </c>
      <c r="AF10" s="117">
        <f>①!AF10+②!AF10+④!AF10+⑤!AF10+③!AF10+⑥!AF10+H!AF10</f>
        <v>891429</v>
      </c>
      <c r="AG10" s="151">
        <f>①!AG10+②!AG10+④!AG10+⑤!AG10+③!AG10+⑥!AG10+H!AG10</f>
        <v>554875.36573025025</v>
      </c>
      <c r="AH10" s="117">
        <f>①!AH10+②!AH10+④!AH10+⑤!AH10+③!AH10+⑥!AH10+H!AH10</f>
        <v>900695</v>
      </c>
      <c r="AI10" s="151">
        <f t="shared" si="4"/>
        <v>1574819.9719573907</v>
      </c>
      <c r="AJ10" s="117">
        <f t="shared" si="4"/>
        <v>2689982</v>
      </c>
      <c r="AK10" s="151">
        <f t="shared" si="5"/>
        <v>2937078.4934480609</v>
      </c>
      <c r="AL10" s="117">
        <f t="shared" si="5"/>
        <v>5297577</v>
      </c>
      <c r="AM10" s="129">
        <f t="shared" si="6"/>
        <v>5034382.200358443</v>
      </c>
      <c r="AN10" s="117">
        <f t="shared" si="7"/>
        <v>10212988</v>
      </c>
    </row>
    <row r="11" spans="1:40" ht="20.25" customHeight="1" x14ac:dyDescent="0.15">
      <c r="A11" s="23"/>
      <c r="B11" s="5" t="s">
        <v>23</v>
      </c>
      <c r="C11" s="151">
        <f>①!C11+②!C11+④!C11+⑤!C11+③!C11+⑥!C11+H!C11</f>
        <v>11468986.11963293</v>
      </c>
      <c r="D11" s="117">
        <f>①!D11+②!D11+④!D11+⑤!D11+③!D11+⑥!D11+H!D11</f>
        <v>11828255</v>
      </c>
      <c r="E11" s="151">
        <f>①!E11+②!E11+④!E11+⑤!E11+③!E11+⑥!E11+H!E11</f>
        <v>13287899.330846269</v>
      </c>
      <c r="F11" s="117">
        <f>①!F11+②!F11+④!F11+⑤!F11+③!F11+⑥!F11+H!F11</f>
        <v>11751293</v>
      </c>
      <c r="G11" s="151">
        <f>①!G11+②!G11+④!G11+⑤!G11+③!G11+⑥!G11+H!G11</f>
        <v>12402180.997562837</v>
      </c>
      <c r="H11" s="117">
        <f>①!H11+②!H11+④!H11+⑤!H11+③!H11+⑥!H11+H!H11</f>
        <v>11736755</v>
      </c>
      <c r="I11" s="151">
        <f>C11+E11+G11</f>
        <v>37159066.448042035</v>
      </c>
      <c r="J11" s="117">
        <f t="shared" si="0"/>
        <v>35316303</v>
      </c>
      <c r="K11" s="129">
        <f>①!K11+②!K11+④!K11+⑤!K11+③!K11+⑥!K11+H!K11</f>
        <v>12605353.605162837</v>
      </c>
      <c r="L11" s="121">
        <f>①!L11+②!L11+④!L11+⑤!L11+③!L11+⑥!L11+H!L11</f>
        <v>12130937</v>
      </c>
      <c r="M11" s="151">
        <f>①!M11+②!M11+④!M11+⑤!M11+③!M11+⑥!M11+H!M11</f>
        <v>14063346.343562836</v>
      </c>
      <c r="N11" s="117">
        <f>①!N11+②!N11+④!N11+⑤!N11+③!N11+⑥!N11+H!N11</f>
        <v>12231527</v>
      </c>
      <c r="O11" s="151">
        <f>①!O11+②!O11+④!O11+⑤!O11+③!O11+⑥!O11+H!O11</f>
        <v>13470867.212762836</v>
      </c>
      <c r="P11" s="117">
        <f>①!P11+②!P11+④!P11+⑤!P11+③!P11+⑥!P11+H!P11</f>
        <v>12437036</v>
      </c>
      <c r="Q11" s="151">
        <f t="shared" si="1"/>
        <v>40139567.161488503</v>
      </c>
      <c r="R11" s="117">
        <f t="shared" si="1"/>
        <v>36799500</v>
      </c>
      <c r="S11" s="151">
        <f t="shared" si="2"/>
        <v>77298633.609530538</v>
      </c>
      <c r="T11" s="117">
        <f t="shared" si="2"/>
        <v>72115803</v>
      </c>
      <c r="U11" s="129">
        <f>①!U11+②!U11+④!U11+⑤!U11+③!U11+⑥!U11+H!U11</f>
        <v>14059959.081962835</v>
      </c>
      <c r="V11" s="117">
        <f>①!V11+②!V11+④!V11+⑤!V11+③!V11+⑥!V11+H!V11</f>
        <v>12743927</v>
      </c>
      <c r="W11" s="151">
        <f>①!W11+②!W11+④!W11+⑤!W11+③!W11+⑥!W11+H!W11</f>
        <v>13937725.951162836</v>
      </c>
      <c r="X11" s="117">
        <f>①!X11+②!X11+④!X11+⑤!X11+③!X11+⑥!X11+H!X11</f>
        <v>12848530</v>
      </c>
      <c r="Y11" s="184">
        <f>①!Y11+②!Y11+④!Y11+⑤!Y11+③!Y11+⑥!Y11+H!Y11</f>
        <v>14428433.30099597</v>
      </c>
      <c r="Z11" s="117">
        <f>①!Z11+②!Z11+④!Z11+⑤!Z11+③!Z11+⑥!Z11+H!Z11</f>
        <v>13149016</v>
      </c>
      <c r="AA11" s="151">
        <f t="shared" si="3"/>
        <v>42426118.334121637</v>
      </c>
      <c r="AB11" s="117">
        <f t="shared" si="3"/>
        <v>38741473</v>
      </c>
      <c r="AC11" s="129">
        <f>①!AC11+②!AC11+④!AC11+⑤!AC11+③!AC11+⑥!AC11+H!AC11</f>
        <v>14623109.30099597</v>
      </c>
      <c r="AD11" s="117">
        <f>①!AD11+②!AD11+④!AD11+⑤!AD11+③!AD11+⑥!AD11+H!AD11</f>
        <v>13303468</v>
      </c>
      <c r="AE11" s="151">
        <f>①!AE11+②!AE11+④!AE11+⑤!AE11+③!AE11+⑥!AE11+H!AE11</f>
        <v>15246371.30099597</v>
      </c>
      <c r="AF11" s="117">
        <f>①!AF11+②!AF11+④!AF11+⑤!AF11+③!AF11+⑥!AF11+H!AF11</f>
        <v>13173172</v>
      </c>
      <c r="AG11" s="151">
        <f>①!AG11+②!AG11+④!AG11+⑤!AG11+③!AG11+⑥!AG11+H!AG11</f>
        <v>14440111.823951393</v>
      </c>
      <c r="AH11" s="117">
        <f>①!AH11+②!AH11+④!AH11+⑤!AH11+③!AH11+⑥!AH11+H!AH11</f>
        <v>13243261</v>
      </c>
      <c r="AI11" s="151">
        <f t="shared" si="4"/>
        <v>44309592.42594333</v>
      </c>
      <c r="AJ11" s="117">
        <f t="shared" si="4"/>
        <v>39719901</v>
      </c>
      <c r="AK11" s="151">
        <f t="shared" si="5"/>
        <v>86735710.76006496</v>
      </c>
      <c r="AL11" s="117">
        <f t="shared" si="5"/>
        <v>78461374</v>
      </c>
      <c r="AM11" s="129">
        <f t="shared" si="6"/>
        <v>164034344.36959553</v>
      </c>
      <c r="AN11" s="117">
        <f t="shared" si="7"/>
        <v>150577177</v>
      </c>
    </row>
    <row r="12" spans="1:40" ht="20.25" customHeight="1" x14ac:dyDescent="0.15">
      <c r="A12" s="23"/>
      <c r="B12" s="5" t="s">
        <v>24</v>
      </c>
      <c r="C12" s="151">
        <f>①!C12+②!C12+④!C12+⑤!C12+③!C12+⑥!C12+H!C12</f>
        <v>774062.53298037744</v>
      </c>
      <c r="D12" s="117">
        <f>①!D12+②!D12+④!D12+⑤!D12+③!D12+⑥!D12+H!D12</f>
        <v>782320</v>
      </c>
      <c r="E12" s="151">
        <f>①!E12+②!E12+④!E12+⑤!E12+③!E12+⑥!E12+H!E12</f>
        <v>887916.96233650367</v>
      </c>
      <c r="F12" s="117">
        <f>①!F12+②!F12+④!F12+⑤!F12+③!F12+⑥!F12+H!F12</f>
        <v>865754</v>
      </c>
      <c r="G12" s="151">
        <f>①!G12+②!G12+④!G12+⑤!G12+③!G12+⑥!G12+H!G12</f>
        <v>833603.88723212946</v>
      </c>
      <c r="H12" s="117">
        <f>①!H12+②!H12+④!H12+⑤!H12+③!H12+⑥!H12+H!H12</f>
        <v>829082</v>
      </c>
      <c r="I12" s="151">
        <f t="shared" si="0"/>
        <v>2495583.3825490107</v>
      </c>
      <c r="J12" s="117">
        <f t="shared" si="0"/>
        <v>2477156</v>
      </c>
      <c r="K12" s="129">
        <f>①!K12+②!K12+④!K12+⑤!K12+③!K12+⑥!K12+H!K12</f>
        <v>846719.35671212955</v>
      </c>
      <c r="L12" s="121">
        <f>①!L12+②!L12+④!L12+⑤!L12+③!L12+⑥!L12+H!L12</f>
        <v>807692</v>
      </c>
      <c r="M12" s="151">
        <f>①!M12+②!M12+④!M12+⑤!M12+③!M12+⑥!M12+H!M12</f>
        <v>942795.00303212949</v>
      </c>
      <c r="N12" s="117">
        <f>①!N12+②!N12+④!N12+⑤!N12+③!N12+⑥!N12+H!N12</f>
        <v>912864</v>
      </c>
      <c r="O12" s="151">
        <f>①!O12+②!O12+④!O12+⑤!O12+③!O12+⑥!O12+H!O12</f>
        <v>904134.22619212954</v>
      </c>
      <c r="P12" s="117">
        <f>①!P12+②!P12+④!P12+⑤!P12+③!P12+⑥!P12+H!P12</f>
        <v>858600</v>
      </c>
      <c r="Q12" s="151">
        <f t="shared" si="1"/>
        <v>2693648.5859363889</v>
      </c>
      <c r="R12" s="117">
        <f t="shared" si="1"/>
        <v>2579156</v>
      </c>
      <c r="S12" s="151">
        <f t="shared" si="2"/>
        <v>5189231.9684854001</v>
      </c>
      <c r="T12" s="117">
        <f t="shared" si="2"/>
        <v>5056312</v>
      </c>
      <c r="U12" s="129">
        <f>①!U12+②!U12+④!U12+⑤!U12+③!U12+⑥!U12+H!U12</f>
        <v>942784.4493521296</v>
      </c>
      <c r="V12" s="117">
        <f>①!V12+②!V12+④!V12+⑤!V12+③!V12+⑥!V12+H!V12</f>
        <v>907754</v>
      </c>
      <c r="W12" s="151">
        <f>①!W12+②!W12+④!W12+⑤!W12+③!W12+⑥!W12+H!W12</f>
        <v>934385.67251212965</v>
      </c>
      <c r="X12" s="117">
        <f>①!X12+②!X12+④!X12+⑤!X12+③!X12+⑥!X12+H!X12</f>
        <v>1225188</v>
      </c>
      <c r="Y12" s="184">
        <f>①!Y12+②!Y12+④!Y12+⑤!Y12+③!Y12+⑥!Y12+H!Y12</f>
        <v>974202.96802338143</v>
      </c>
      <c r="Z12" s="117">
        <f>①!Z12+②!Z12+④!Z12+⑤!Z12+③!Z12+⑥!Z12+H!Z12</f>
        <v>1241113</v>
      </c>
      <c r="AA12" s="151">
        <f t="shared" si="3"/>
        <v>2851373.0898876404</v>
      </c>
      <c r="AB12" s="117">
        <f t="shared" si="3"/>
        <v>3374055</v>
      </c>
      <c r="AC12" s="129">
        <f>①!AC12+②!AC12+④!AC12+⑤!AC12+③!AC12+⑥!AC12+H!AC12</f>
        <v>987722.96802338143</v>
      </c>
      <c r="AD12" s="117">
        <f>①!AD12+②!AD12+④!AD12+⑤!AD12+③!AD12+⑥!AD12+H!AD12</f>
        <v>1223508</v>
      </c>
      <c r="AE12" s="151">
        <f>①!AE12+②!AE12+④!AE12+⑤!AE12+③!AE12+⑥!AE12+H!AE12</f>
        <v>1027660.7680233814</v>
      </c>
      <c r="AF12" s="117">
        <f>①!AF12+②!AF12+④!AF12+⑤!AF12+③!AF12+⑥!AF12+H!AF12</f>
        <v>1224866</v>
      </c>
      <c r="AG12" s="151">
        <f>①!AG12+②!AG12+④!AG12+⑤!AG12+③!AG12+⑥!AG12+H!AG12</f>
        <v>977965.43941754929</v>
      </c>
      <c r="AH12" s="117">
        <f>①!AH12+②!AH12+④!AH12+⑤!AH12+③!AH12+⑥!AH12+H!AH12</f>
        <v>1187015</v>
      </c>
      <c r="AI12" s="151">
        <f t="shared" si="4"/>
        <v>2993349.1754643121</v>
      </c>
      <c r="AJ12" s="117">
        <f t="shared" si="4"/>
        <v>3635389</v>
      </c>
      <c r="AK12" s="151">
        <f t="shared" si="5"/>
        <v>5844722.265351953</v>
      </c>
      <c r="AL12" s="117">
        <f t="shared" si="5"/>
        <v>7009444</v>
      </c>
      <c r="AM12" s="129">
        <f t="shared" si="6"/>
        <v>11033954.233837351</v>
      </c>
      <c r="AN12" s="117">
        <f t="shared" si="7"/>
        <v>12065756</v>
      </c>
    </row>
    <row r="13" spans="1:40" ht="20.25" customHeight="1" x14ac:dyDescent="0.15">
      <c r="A13" s="23"/>
      <c r="B13" s="5" t="s">
        <v>25</v>
      </c>
      <c r="C13" s="151">
        <f>①!C13+②!C13+④!C13+⑤!C13+③!C13+⑥!C13+H!C13</f>
        <v>577440.50405086018</v>
      </c>
      <c r="D13" s="117">
        <f>①!D13+②!D13+④!D13+⑤!D13+③!D13+⑥!D13+H!D13</f>
        <v>400667</v>
      </c>
      <c r="E13" s="151">
        <f>①!E13+②!E13+④!E13+⑤!E13+③!E13+⑥!E13+H!E13</f>
        <v>489164.02396937425</v>
      </c>
      <c r="F13" s="117">
        <f>①!F13+②!F13+④!F13+⑤!F13+③!F13+⑥!F13+H!F13</f>
        <v>469369</v>
      </c>
      <c r="G13" s="151">
        <f>①!G13+②!G13+④!G13+⑤!G13+③!G13+⑥!G13+H!G13</f>
        <v>466573.76609521778</v>
      </c>
      <c r="H13" s="117">
        <f>①!H13+②!H13+④!H13+⑤!H13+③!H13+⑥!H13+H!H13</f>
        <v>450776</v>
      </c>
      <c r="I13" s="151">
        <f t="shared" si="0"/>
        <v>1533178.2941154521</v>
      </c>
      <c r="J13" s="117">
        <f t="shared" si="0"/>
        <v>1320812</v>
      </c>
      <c r="K13" s="129">
        <f>①!K13+②!K13+④!K13+⑤!K13+③!K13+⑥!K13+H!K13</f>
        <v>474065.45301521779</v>
      </c>
      <c r="L13" s="121">
        <f>①!L13+②!L13+④!L13+⑤!L13+③!L13+⑥!L13+H!L13</f>
        <v>438210</v>
      </c>
      <c r="M13" s="151">
        <f>①!M13+②!M13+④!M13+⑤!M13+③!M13+⑥!M13+H!M13</f>
        <v>524208.2442952178</v>
      </c>
      <c r="N13" s="117">
        <f>①!N13+②!N13+④!N13+⑤!N13+③!N13+⑥!N13+H!N13</f>
        <v>495357</v>
      </c>
      <c r="O13" s="151">
        <f>①!O13+②!O13+④!O13+⑤!O13+③!O13+⑥!O13+H!O13</f>
        <v>503631.33993521775</v>
      </c>
      <c r="P13" s="117">
        <f>①!P13+②!P13+④!P13+⑤!P13+③!P13+⑥!P13+H!P13</f>
        <v>463989</v>
      </c>
      <c r="Q13" s="151">
        <f t="shared" si="1"/>
        <v>1501905.0372456533</v>
      </c>
      <c r="R13" s="117">
        <f t="shared" si="1"/>
        <v>1397556</v>
      </c>
      <c r="S13" s="151">
        <f t="shared" si="2"/>
        <v>3035083.3313611057</v>
      </c>
      <c r="T13" s="117">
        <f t="shared" si="2"/>
        <v>2718368</v>
      </c>
      <c r="U13" s="129">
        <f>①!U13+②!U13+④!U13+⑤!U13+③!U13+⑥!U13+H!U13</f>
        <v>523803.43557521782</v>
      </c>
      <c r="V13" s="117">
        <f>①!V13+②!V13+④!V13+⑤!V13+③!V13+⑥!V13+H!V13</f>
        <v>489716</v>
      </c>
      <c r="W13" s="151">
        <f>①!W13+②!W13+④!W13+⑤!W13+③!W13+⑥!W13+H!W13</f>
        <v>519390.53121521778</v>
      </c>
      <c r="X13" s="117">
        <f>①!X13+②!X13+④!X13+⑤!X13+③!X13+⑥!X13+H!X13</f>
        <v>468890</v>
      </c>
      <c r="Y13" s="184">
        <f>①!Y13+②!Y13+④!Y13+⑤!Y13+③!Y13+⑥!Y13+H!Y13</f>
        <v>553101.3493469049</v>
      </c>
      <c r="Z13" s="117">
        <f>①!Z13+②!Z13+④!Z13+⑤!Z13+③!Z13+⑥!Z13+H!Z13</f>
        <v>473371</v>
      </c>
      <c r="AA13" s="151">
        <f t="shared" si="3"/>
        <v>1596295.3161373404</v>
      </c>
      <c r="AB13" s="117">
        <f t="shared" si="3"/>
        <v>1431977</v>
      </c>
      <c r="AC13" s="129">
        <f>①!AC13+②!AC13+④!AC13+⑤!AC13+③!AC13+⑥!AC13+H!AC13</f>
        <v>559545.3493469049</v>
      </c>
      <c r="AD13" s="117">
        <f>①!AD13+②!AD13+④!AD13+⑤!AD13+③!AD13+⑥!AD13+H!AD13</f>
        <v>467145</v>
      </c>
      <c r="AE13" s="151">
        <f>①!AE13+②!AE13+④!AE13+⑤!AE13+③!AE13+⑥!AE13+H!AE13</f>
        <v>579795.74934690492</v>
      </c>
      <c r="AF13" s="117">
        <f>①!AF13+②!AF13+④!AF13+⑤!AF13+③!AF13+⑥!AF13+H!AF13</f>
        <v>469459</v>
      </c>
      <c r="AG13" s="151">
        <f>①!AG13+②!AG13+④!AG13+⑤!AG13+③!AG13+⑥!AG13+H!AG13</f>
        <v>563996.25998136296</v>
      </c>
      <c r="AH13" s="117">
        <f>①!AH13+②!AH13+④!AH13+⑤!AH13+③!AH13+⑥!AH13+H!AH13</f>
        <v>454539</v>
      </c>
      <c r="AI13" s="151">
        <f t="shared" si="4"/>
        <v>1703337.358675173</v>
      </c>
      <c r="AJ13" s="117">
        <f t="shared" si="4"/>
        <v>1391143</v>
      </c>
      <c r="AK13" s="151">
        <f t="shared" si="5"/>
        <v>3299632.6748125134</v>
      </c>
      <c r="AL13" s="117">
        <f t="shared" si="5"/>
        <v>2823120</v>
      </c>
      <c r="AM13" s="129">
        <f t="shared" si="6"/>
        <v>6334716.0061736191</v>
      </c>
      <c r="AN13" s="117">
        <f t="shared" si="7"/>
        <v>5541488</v>
      </c>
    </row>
    <row r="14" spans="1:40" ht="20.25" customHeight="1" x14ac:dyDescent="0.15">
      <c r="A14" s="26"/>
      <c r="B14" s="27" t="s">
        <v>26</v>
      </c>
      <c r="C14" s="152">
        <f>①!C14+②!C14+④!C14+⑤!C14+③!C14+⑥!C14+H!C14</f>
        <v>7020950.9669220336</v>
      </c>
      <c r="D14" s="118">
        <f>①!D14+②!D14+④!D14+⑤!D14+③!D14+⑥!D14+H!D14</f>
        <v>5927710</v>
      </c>
      <c r="E14" s="152">
        <f>①!E14+②!E14+④!E14+⑤!E14+③!E14+⑥!E14+H!E14</f>
        <v>8084951.116922034</v>
      </c>
      <c r="F14" s="118">
        <f>①!F14+②!F14+④!F14+⑤!F14+③!F14+⑥!F14+H!F14</f>
        <v>6763602</v>
      </c>
      <c r="G14" s="152">
        <f>①!G14+②!G14+④!G14+⑤!G14+③!G14+⑥!G14+H!G14</f>
        <v>7478870.4655275429</v>
      </c>
      <c r="H14" s="118">
        <f>①!H14+②!H14+④!H14+⑤!H14+③!H14+⑥!H14+H!H14</f>
        <v>6492759</v>
      </c>
      <c r="I14" s="152">
        <f t="shared" si="0"/>
        <v>22584772.549371611</v>
      </c>
      <c r="J14" s="118">
        <f t="shared" si="0"/>
        <v>19184071</v>
      </c>
      <c r="K14" s="130">
        <f>①!K14+②!K14+④!K14+⑤!K14+③!K14+⑥!K14+H!K14</f>
        <v>7564870.9155275431</v>
      </c>
      <c r="L14" s="122">
        <f>①!L14+②!L14+④!L14+⑤!L14+③!L14+⑥!L14+H!L14</f>
        <v>6404960</v>
      </c>
      <c r="M14" s="152">
        <f>①!M14+②!M14+④!M14+⑤!M14+③!M14+⑥!M14+H!M14</f>
        <v>8430871.2155275419</v>
      </c>
      <c r="N14" s="118">
        <f>①!N14+②!N14+④!N14+⑤!N14+③!N14+⑥!N14+H!N14</f>
        <v>6975674</v>
      </c>
      <c r="O14" s="152">
        <f>①!O14+②!O14+④!O14+⑤!O14+③!O14+⑥!O14+H!O14</f>
        <v>8038871.3655275423</v>
      </c>
      <c r="P14" s="118">
        <f>①!P14+②!P14+④!P14+⑤!P14+③!P14+⑥!P14+H!P14</f>
        <v>6494187</v>
      </c>
      <c r="Q14" s="152">
        <f t="shared" si="1"/>
        <v>24034613.496582627</v>
      </c>
      <c r="R14" s="118">
        <f t="shared" si="1"/>
        <v>19874821</v>
      </c>
      <c r="S14" s="152">
        <f t="shared" si="2"/>
        <v>46619386.045954242</v>
      </c>
      <c r="T14" s="118">
        <f t="shared" si="2"/>
        <v>39058892</v>
      </c>
      <c r="U14" s="130">
        <f>①!U14+②!U14+④!U14+⑤!U14+③!U14+⑥!U14+H!U14</f>
        <v>8356871.5155275427</v>
      </c>
      <c r="V14" s="118">
        <f>①!V14+②!V14+④!V14+⑤!V14+③!V14+⑥!V14+H!V14</f>
        <v>6795949</v>
      </c>
      <c r="W14" s="152">
        <f>①!W14+②!W14+④!W14+⑤!W14+③!W14+⑥!W14+H!W14</f>
        <v>8254871.6655275431</v>
      </c>
      <c r="X14" s="118">
        <f>①!X14+②!X14+④!X14+⑤!X14+③!X14+⑥!X14+H!X14</f>
        <v>6518696</v>
      </c>
      <c r="Y14" s="185">
        <f>①!Y14+②!Y14+④!Y14+⑤!Y14+③!Y14+⑥!Y14+H!Y14</f>
        <v>8511417.9127385579</v>
      </c>
      <c r="Z14" s="118">
        <f>①!Z14+②!Z14+④!Z14+⑤!Z14+③!Z14+⑥!Z14+H!Z14</f>
        <v>6574024</v>
      </c>
      <c r="AA14" s="152">
        <f t="shared" si="3"/>
        <v>25123161.093793646</v>
      </c>
      <c r="AB14" s="118">
        <f t="shared" si="3"/>
        <v>19888669</v>
      </c>
      <c r="AC14" s="130">
        <f>①!AC14+②!AC14+④!AC14+⑤!AC14+③!AC14+⑥!AC14+H!AC14</f>
        <v>8621417.9127385579</v>
      </c>
      <c r="AD14" s="118">
        <f>①!AD14+②!AD14+④!AD14+⑤!AD14+③!AD14+⑥!AD14+H!AD14</f>
        <v>6536748</v>
      </c>
      <c r="AE14" s="152">
        <f>①!AE14+②!AE14+④!AE14+⑤!AE14+③!AE14+⑥!AE14+H!AE14</f>
        <v>8977417.9127385579</v>
      </c>
      <c r="AF14" s="118">
        <f>①!AF14+②!AF14+④!AF14+⑤!AF14+③!AF14+⑥!AF14+H!AF14</f>
        <v>6469197</v>
      </c>
      <c r="AG14" s="152">
        <f>①!AG14+②!AG14+④!AG14+⑤!AG14+③!AG14+⑥!AG14+H!AG14</f>
        <v>8396448.7942125704</v>
      </c>
      <c r="AH14" s="118">
        <f>①!AH14+②!AH14+④!AH14+⑤!AH14+③!AH14+⑥!AH14+H!AH14</f>
        <v>6291375</v>
      </c>
      <c r="AI14" s="152">
        <f t="shared" si="4"/>
        <v>25995284.619689688</v>
      </c>
      <c r="AJ14" s="118">
        <f t="shared" si="4"/>
        <v>19297320</v>
      </c>
      <c r="AK14" s="152">
        <f t="shared" si="5"/>
        <v>51118445.713483334</v>
      </c>
      <c r="AL14" s="118">
        <f t="shared" si="5"/>
        <v>39185989</v>
      </c>
      <c r="AM14" s="130">
        <f t="shared" si="6"/>
        <v>97737831.759437561</v>
      </c>
      <c r="AN14" s="118">
        <f t="shared" si="7"/>
        <v>78244881</v>
      </c>
    </row>
    <row r="15" spans="1:40" ht="20.25" customHeight="1" x14ac:dyDescent="0.15">
      <c r="A15" s="21" t="s">
        <v>77</v>
      </c>
      <c r="B15" s="22" t="s">
        <v>68</v>
      </c>
      <c r="C15" s="151">
        <f>①!C15+②!C15+④!C15+⑤!C15+③!C15+⑥!C15+H!C15</f>
        <v>100000</v>
      </c>
      <c r="D15" s="117">
        <f>①!D15+②!D15+④!D15+⑤!D15+③!D15+⑥!D15+H!D15</f>
        <v>0</v>
      </c>
      <c r="E15" s="151">
        <f>①!E15+②!E15+④!E15+⑤!E15+③!E15+⑥!E15+H!E15</f>
        <v>100000</v>
      </c>
      <c r="F15" s="117">
        <f>①!F15+②!F15+④!F15+⑤!F15+③!F15+⑥!F15+H!F15</f>
        <v>0</v>
      </c>
      <c r="G15" s="151">
        <f>①!G15+②!G15+④!G15+⑤!G15+③!G15+⑥!G15+H!G15</f>
        <v>100000</v>
      </c>
      <c r="H15" s="117">
        <f>①!H15+②!H15+④!H15+⑤!H15+③!H15+⑥!H15+H!H15</f>
        <v>0</v>
      </c>
      <c r="I15" s="151">
        <f t="shared" si="0"/>
        <v>300000</v>
      </c>
      <c r="J15" s="117">
        <f t="shared" si="0"/>
        <v>0</v>
      </c>
      <c r="K15" s="129">
        <f>①!K15+②!K15+④!K15+⑤!K15+③!K15+⑥!K15+H!K15</f>
        <v>100000</v>
      </c>
      <c r="L15" s="117">
        <f>①!L15+②!L15+④!L15+⑤!L15+③!L15+⑥!L15+H!L15</f>
        <v>0</v>
      </c>
      <c r="M15" s="151">
        <f>①!M15+②!M15+④!M15+⑤!M15+③!M15+⑥!M15+H!M15</f>
        <v>100000</v>
      </c>
      <c r="N15" s="117">
        <f>①!N15+②!N15+④!N15+⑤!N15+③!N15+⑥!N15+H!N15</f>
        <v>0</v>
      </c>
      <c r="O15" s="151">
        <f>①!O15+②!O15+④!O15+⑤!O15+③!O15+⑥!O15+H!O15</f>
        <v>100000</v>
      </c>
      <c r="P15" s="117">
        <f>①!P15+②!P15+④!P15+⑤!P15+③!P15+⑥!P15+H!P15</f>
        <v>0</v>
      </c>
      <c r="Q15" s="151">
        <f t="shared" si="1"/>
        <v>300000</v>
      </c>
      <c r="R15" s="117">
        <f t="shared" si="1"/>
        <v>0</v>
      </c>
      <c r="S15" s="151">
        <f t="shared" si="2"/>
        <v>600000</v>
      </c>
      <c r="T15" s="117">
        <f t="shared" si="2"/>
        <v>0</v>
      </c>
      <c r="U15" s="129">
        <f>①!U15+②!U15+④!U15+⑤!U15+③!U15+⑥!U15+H!U15</f>
        <v>100000</v>
      </c>
      <c r="V15" s="117">
        <f>①!V15+②!V15+④!V15+⑤!V15+③!V15+⑥!V15+H!V15</f>
        <v>0</v>
      </c>
      <c r="W15" s="151">
        <f>①!W15+②!W15+④!W15+⑤!W15+③!W15+⑥!W15+H!W15</f>
        <v>100000</v>
      </c>
      <c r="X15" s="117">
        <f>①!X15+②!X15+④!X15+⑤!X15+③!X15+⑥!X15+H!X15</f>
        <v>0</v>
      </c>
      <c r="Y15" s="184">
        <f>①!Y15+②!Y15+④!Y15+⑤!Y15+③!Y15+⑥!Y15+H!Y15</f>
        <v>100000</v>
      </c>
      <c r="Z15" s="117">
        <f>①!Z15+②!Z15+④!Z15+⑤!Z15+③!Z15+⑥!Z15+H!Z15</f>
        <v>0</v>
      </c>
      <c r="AA15" s="151">
        <f t="shared" si="3"/>
        <v>300000</v>
      </c>
      <c r="AB15" s="117">
        <f t="shared" si="3"/>
        <v>0</v>
      </c>
      <c r="AC15" s="129">
        <f>①!AC15+②!AC15+④!AC15+⑤!AC15+③!AC15+⑥!AC15+H!AC15</f>
        <v>100000</v>
      </c>
      <c r="AD15" s="117">
        <f>①!AD15+②!AD15+④!AD15+⑤!AD15+③!AD15+⑥!AD15+H!AD15</f>
        <v>0</v>
      </c>
      <c r="AE15" s="151">
        <f>①!AE15+②!AE15+④!AE15+⑤!AE15+③!AE15+⑥!AE15+H!AE15</f>
        <v>100000</v>
      </c>
      <c r="AF15" s="117">
        <f>①!AF15+②!AF15+④!AF15+⑤!AF15+③!AF15+⑥!AF15+H!AF15</f>
        <v>819</v>
      </c>
      <c r="AG15" s="151">
        <f>①!AG15+②!AG15+④!AG15+⑤!AG15+③!AG15+⑥!AG15+H!AG15</f>
        <v>100000</v>
      </c>
      <c r="AH15" s="117">
        <f>①!AH15+②!AH15+④!AH15+⑤!AH15+③!AH15+⑥!AH15+H!AH15</f>
        <v>0</v>
      </c>
      <c r="AI15" s="151">
        <f t="shared" si="4"/>
        <v>300000</v>
      </c>
      <c r="AJ15" s="117">
        <f t="shared" si="4"/>
        <v>819</v>
      </c>
      <c r="AK15" s="151">
        <f t="shared" si="5"/>
        <v>600000</v>
      </c>
      <c r="AL15" s="117">
        <f t="shared" si="5"/>
        <v>819</v>
      </c>
      <c r="AM15" s="129">
        <f t="shared" si="6"/>
        <v>1200000</v>
      </c>
      <c r="AN15" s="117">
        <f t="shared" si="7"/>
        <v>819</v>
      </c>
    </row>
    <row r="16" spans="1:40" ht="20.25" customHeight="1" x14ac:dyDescent="0.15">
      <c r="A16" s="21" t="s">
        <v>78</v>
      </c>
      <c r="B16" s="6" t="s">
        <v>69</v>
      </c>
      <c r="C16" s="151">
        <f>①!C16+②!C16+④!C16+⑤!C16+③!C16+⑥!C16+H!C16</f>
        <v>631375.80385982664</v>
      </c>
      <c r="D16" s="117">
        <f>①!D16+②!D16+④!D16+⑤!D16+③!D16+⑥!D16+H!D16</f>
        <v>371551</v>
      </c>
      <c r="E16" s="151">
        <f>①!E16+②!E16+④!E16+⑤!E16+③!E16+⑥!E16+H!E16</f>
        <v>631375.80385982664</v>
      </c>
      <c r="F16" s="117">
        <f>①!F16+②!F16+④!F16+⑤!F16+③!F16+⑥!F16+H!F16</f>
        <v>371152</v>
      </c>
      <c r="G16" s="151">
        <f>①!G16+②!G16+④!G16+⑤!G16+③!G16+⑥!G16+H!G16</f>
        <v>676719.75482478319</v>
      </c>
      <c r="H16" s="117">
        <f>①!H16+②!H16+④!H16+⑤!H16+③!H16+⑥!H16+H!H16</f>
        <v>353555</v>
      </c>
      <c r="I16" s="151">
        <f t="shared" si="0"/>
        <v>1939471.3625444365</v>
      </c>
      <c r="J16" s="117">
        <f t="shared" si="0"/>
        <v>1096258</v>
      </c>
      <c r="K16" s="129">
        <f>①!K16+②!K16+④!K16+⑤!K16+③!K16+⑥!K16+H!K16</f>
        <v>676719.75482478319</v>
      </c>
      <c r="L16" s="117">
        <f>①!L16+②!L16+④!L16+⑤!L16+③!L16+⑥!L16+H!L16</f>
        <v>363858</v>
      </c>
      <c r="M16" s="151">
        <f>①!M16+②!M16+④!M16+⑤!M16+③!M16+⑥!M16+H!M16</f>
        <v>676719.75482478319</v>
      </c>
      <c r="N16" s="117">
        <f>①!N16+②!N16+④!N16+⑤!N16+③!N16+⑥!N16+H!N16</f>
        <v>350077</v>
      </c>
      <c r="O16" s="151">
        <f>①!O16+②!O16+④!O16+⑤!O16+③!O16+⑥!O16+H!O16</f>
        <v>676719.75482478319</v>
      </c>
      <c r="P16" s="117">
        <f>①!P16+②!P16+④!P16+⑤!P16+③!P16+⑥!P16+H!P16</f>
        <v>364087</v>
      </c>
      <c r="Q16" s="151">
        <f t="shared" si="1"/>
        <v>2030159.2644743496</v>
      </c>
      <c r="R16" s="117">
        <f t="shared" si="1"/>
        <v>1078022</v>
      </c>
      <c r="S16" s="151">
        <f t="shared" si="2"/>
        <v>3969630.627018786</v>
      </c>
      <c r="T16" s="117">
        <f t="shared" si="2"/>
        <v>2174280</v>
      </c>
      <c r="U16" s="129">
        <f>①!U16+②!U16+④!U16+⑤!U16+③!U16+⑥!U16+H!U16</f>
        <v>676719.75482478319</v>
      </c>
      <c r="V16" s="117">
        <f>①!V16+②!V16+④!V16+⑤!V16+③!V16+⑥!V16+H!V16</f>
        <v>381342</v>
      </c>
      <c r="W16" s="151">
        <f>①!W16+②!W16+④!W16+⑤!W16+③!W16+⑥!W16+H!W16</f>
        <v>676719.75482478319</v>
      </c>
      <c r="X16" s="117">
        <f>①!X16+②!X16+④!X16+⑤!X16+③!X16+⑥!X16+H!X16</f>
        <v>344675</v>
      </c>
      <c r="Y16" s="184">
        <f>①!Y16+②!Y16+④!Y16+⑤!Y16+③!Y16+⑥!Y16+H!Y16</f>
        <v>737407.65675469651</v>
      </c>
      <c r="Z16" s="117">
        <f>①!Z16+②!Z16+④!Z16+⑤!Z16+③!Z16+⑥!Z16+H!Z16</f>
        <v>319846</v>
      </c>
      <c r="AA16" s="151">
        <f t="shared" si="3"/>
        <v>2090847.1664042629</v>
      </c>
      <c r="AB16" s="117">
        <f t="shared" si="3"/>
        <v>1045863</v>
      </c>
      <c r="AC16" s="129">
        <f>①!AC16+②!AC16+④!AC16+⑤!AC16+③!AC16+⑥!AC16+H!AC16</f>
        <v>737407.65675469651</v>
      </c>
      <c r="AD16" s="117">
        <f>①!AD16+②!AD16+④!AD16+⑤!AD16+③!AD16+⑥!AD16+H!AD16</f>
        <v>532502</v>
      </c>
      <c r="AE16" s="151">
        <f>①!AE16+②!AE16+④!AE16+⑤!AE16+③!AE16+⑥!AE16+H!AE16</f>
        <v>737407.65675469651</v>
      </c>
      <c r="AF16" s="117">
        <f>①!AF16+②!AF16+④!AF16+⑤!AF16+③!AF16+⑥!AF16+H!AF16</f>
        <v>497384</v>
      </c>
      <c r="AG16" s="151">
        <f>①!AG16+②!AG16+④!AG16+⑤!AG16+③!AG16+⑥!AG16+H!AG16</f>
        <v>777866.25804130547</v>
      </c>
      <c r="AH16" s="117">
        <f>①!AH16+②!AH16+④!AH16+⑤!AH16+③!AH16+⑥!AH16+H!AH16</f>
        <v>295192</v>
      </c>
      <c r="AI16" s="151">
        <f t="shared" si="4"/>
        <v>2252681.5715506985</v>
      </c>
      <c r="AJ16" s="117">
        <f t="shared" si="4"/>
        <v>1325078</v>
      </c>
      <c r="AK16" s="151">
        <f t="shared" si="5"/>
        <v>4343528.7379549611</v>
      </c>
      <c r="AL16" s="117">
        <f t="shared" si="5"/>
        <v>2370941</v>
      </c>
      <c r="AM16" s="129">
        <f t="shared" si="6"/>
        <v>8313159.3649737481</v>
      </c>
      <c r="AN16" s="117">
        <f t="shared" si="7"/>
        <v>4545221</v>
      </c>
    </row>
    <row r="17" spans="1:40" ht="20.25" customHeight="1" x14ac:dyDescent="0.15">
      <c r="A17" s="21" t="s">
        <v>79</v>
      </c>
      <c r="B17" s="6" t="s">
        <v>70</v>
      </c>
      <c r="C17" s="151">
        <f>①!C17+②!C17+④!C17+⑤!C17+③!C17+⑥!C17+H!C17</f>
        <v>784366.21361020906</v>
      </c>
      <c r="D17" s="117">
        <f>①!D17+②!D17+④!D17+⑤!D17+③!D17+⑥!D17+H!D17</f>
        <v>1283</v>
      </c>
      <c r="E17" s="151">
        <f>①!E17+②!E17+④!E17+⑤!E17+③!E17+⑥!E17+H!E17</f>
        <v>905366.21361020906</v>
      </c>
      <c r="F17" s="117">
        <f>①!F17+②!F17+④!F17+⑤!F17+③!F17+⑥!F17+H!F17</f>
        <v>0</v>
      </c>
      <c r="G17" s="151">
        <f>①!G17+②!G17+④!G17+⑤!G17+③!G17+⑥!G17+H!G17</f>
        <v>788457.76701276132</v>
      </c>
      <c r="H17" s="117">
        <f>①!H17+②!H17+④!H17+⑤!H17+③!H17+⑥!H17+H!H17</f>
        <v>25386</v>
      </c>
      <c r="I17" s="151">
        <f t="shared" si="0"/>
        <v>2478190.1942331796</v>
      </c>
      <c r="J17" s="117">
        <f t="shared" si="0"/>
        <v>26669</v>
      </c>
      <c r="K17" s="129">
        <f>①!K17+②!K17+④!K17+⑤!K17+③!K17+⑥!K17+H!K17</f>
        <v>780457.76701276132</v>
      </c>
      <c r="L17" s="117">
        <f>①!L17+②!L17+④!L17+⑤!L17+③!L17+⑥!L17+H!L17</f>
        <v>21191</v>
      </c>
      <c r="M17" s="151">
        <f>①!M17+②!M17+④!M17+⑤!M17+③!M17+⑥!M17+H!M17</f>
        <v>903457.76701276132</v>
      </c>
      <c r="N17" s="117">
        <f>①!N17+②!N17+④!N17+⑤!N17+③!N17+⑥!N17+H!N17</f>
        <v>0</v>
      </c>
      <c r="O17" s="151">
        <f>①!O17+②!O17+④!O17+⑤!O17+③!O17+⑥!O17+H!O17</f>
        <v>884457.76701276132</v>
      </c>
      <c r="P17" s="117">
        <f>①!P17+②!P17+④!P17+⑤!P17+③!P17+⑥!P17+H!P17</f>
        <v>0</v>
      </c>
      <c r="Q17" s="151">
        <f t="shared" si="1"/>
        <v>2568373.3010382839</v>
      </c>
      <c r="R17" s="117">
        <f t="shared" si="1"/>
        <v>21191</v>
      </c>
      <c r="S17" s="151">
        <f t="shared" si="2"/>
        <v>5046563.4952714629</v>
      </c>
      <c r="T17" s="117">
        <f t="shared" si="2"/>
        <v>47860</v>
      </c>
      <c r="U17" s="129">
        <f>①!U17+②!U17+④!U17+⑤!U17+③!U17+⑥!U17+H!U17</f>
        <v>859457.76701276132</v>
      </c>
      <c r="V17" s="117">
        <f>①!V17+②!V17+④!V17+⑤!V17+③!V17+⑥!V17+H!V17</f>
        <v>0</v>
      </c>
      <c r="W17" s="151">
        <f>①!W17+②!W17+④!W17+⑤!W17+③!W17+⑥!W17+H!W17</f>
        <v>824457.76701276132</v>
      </c>
      <c r="X17" s="117">
        <f>①!X17+②!X17+④!X17+⑤!X17+③!X17+⑥!X17+H!X17</f>
        <v>8820</v>
      </c>
      <c r="Y17" s="184">
        <f>①!Y17+②!Y17+④!Y17+⑤!Y17+③!Y17+⑥!Y17+H!Y17</f>
        <v>826640.87381786585</v>
      </c>
      <c r="Z17" s="117">
        <f>①!Z17+②!Z17+④!Z17+⑤!Z17+③!Z17+⑥!Z17+H!Z17</f>
        <v>0</v>
      </c>
      <c r="AA17" s="151">
        <f t="shared" si="3"/>
        <v>2510556.4078433886</v>
      </c>
      <c r="AB17" s="117">
        <f t="shared" si="3"/>
        <v>8820</v>
      </c>
      <c r="AC17" s="129">
        <f>①!AC17+②!AC17+④!AC17+⑤!AC17+③!AC17+⑥!AC17+H!AC17</f>
        <v>886640.87381786585</v>
      </c>
      <c r="AD17" s="117">
        <f>①!AD17+②!AD17+④!AD17+⑤!AD17+③!AD17+⑥!AD17+H!AD17</f>
        <v>0</v>
      </c>
      <c r="AE17" s="151">
        <f>①!AE17+②!AE17+④!AE17+⑤!AE17+③!AE17+⑥!AE17+H!AE17</f>
        <v>996640.87381786585</v>
      </c>
      <c r="AF17" s="117">
        <f>①!AF17+②!AF17+④!AF17+⑤!AF17+③!AF17+⑥!AF17+H!AF17</f>
        <v>97526</v>
      </c>
      <c r="AG17" s="151">
        <f>①!AG17+②!AG17+④!AG17+⑤!AG17+③!AG17+⑥!AG17+H!AG17</f>
        <v>794096.27835460228</v>
      </c>
      <c r="AH17" s="117">
        <f>①!AH17+②!AH17+④!AH17+⑤!AH17+③!AH17+⑥!AH17+H!AH17</f>
        <v>3940</v>
      </c>
      <c r="AI17" s="151">
        <f t="shared" si="4"/>
        <v>2677378.0259903339</v>
      </c>
      <c r="AJ17" s="117">
        <f t="shared" si="4"/>
        <v>101466</v>
      </c>
      <c r="AK17" s="151">
        <f t="shared" si="5"/>
        <v>5187934.433833722</v>
      </c>
      <c r="AL17" s="117">
        <f t="shared" si="5"/>
        <v>110286</v>
      </c>
      <c r="AM17" s="129">
        <f t="shared" si="6"/>
        <v>10234497.929105187</v>
      </c>
      <c r="AN17" s="117">
        <f t="shared" si="7"/>
        <v>158146</v>
      </c>
    </row>
    <row r="18" spans="1:40" ht="20.25" customHeight="1" x14ac:dyDescent="0.15">
      <c r="A18" s="23"/>
      <c r="B18" s="6" t="s">
        <v>187</v>
      </c>
      <c r="C18" s="151">
        <f>①!C18+②!C18+④!C18+⑤!C18+③!C18+⑥!C18+H!C18</f>
        <v>40569.763297737787</v>
      </c>
      <c r="D18" s="117">
        <f>①!D18+②!D18+④!D18+⑤!D18+③!D18+⑥!D18+H!D18</f>
        <v>317163</v>
      </c>
      <c r="E18" s="151">
        <f>①!E18+②!E18+④!E18+⑤!E18+③!E18+⑥!E18+H!E18</f>
        <v>40569.763297737787</v>
      </c>
      <c r="F18" s="117">
        <f>①!F18+②!F18+④!F18+⑤!F18+③!F18+⑥!F18+H!F18</f>
        <v>353109</v>
      </c>
      <c r="G18" s="151">
        <f>①!G18+②!G18+④!G18+⑤!G18+③!G18+⑥!G18+H!G18</f>
        <v>28212.204122172236</v>
      </c>
      <c r="H18" s="117">
        <f>①!H18+②!H18+④!H18+⑤!H18+③!H18+⑥!H18+H!H18</f>
        <v>332252</v>
      </c>
      <c r="I18" s="151">
        <f t="shared" si="0"/>
        <v>109351.73071764781</v>
      </c>
      <c r="J18" s="117">
        <f t="shared" si="0"/>
        <v>1002524</v>
      </c>
      <c r="K18" s="129">
        <f>①!K18+②!K18+④!K18+⑤!K18+③!K18+⑥!K18+H!K18</f>
        <v>28212.204122172236</v>
      </c>
      <c r="L18" s="117">
        <f>①!L18+②!L18+④!L18+⑤!L18+③!L18+⑥!L18+H!L18</f>
        <v>3472</v>
      </c>
      <c r="M18" s="151">
        <f>①!M18+②!M18+④!M18+⑤!M18+③!M18+⑥!M18+H!M18</f>
        <v>82212.204122172232</v>
      </c>
      <c r="N18" s="117">
        <f>①!N18+②!N18+④!N18+⑤!N18+③!N18+⑥!N18+H!N18</f>
        <v>168412</v>
      </c>
      <c r="O18" s="151">
        <f>①!O18+②!O18+④!O18+⑤!O18+③!O18+⑥!O18+H!O18</f>
        <v>108212.20412217223</v>
      </c>
      <c r="P18" s="117">
        <f>①!P18+②!P18+④!P18+⑤!P18+③!P18+⑥!P18+H!P18</f>
        <v>460097</v>
      </c>
      <c r="Q18" s="151">
        <f t="shared" si="1"/>
        <v>218636.6123665167</v>
      </c>
      <c r="R18" s="117">
        <f t="shared" si="1"/>
        <v>631981</v>
      </c>
      <c r="S18" s="151">
        <f t="shared" si="2"/>
        <v>327988.34308416449</v>
      </c>
      <c r="T18" s="117">
        <f t="shared" si="2"/>
        <v>1634505</v>
      </c>
      <c r="U18" s="129">
        <f>①!U18+②!U18+④!U18+⑤!U18+③!U18+⑥!U18+H!U18</f>
        <v>108212.20412217223</v>
      </c>
      <c r="V18" s="117">
        <f>①!V18+②!V18+④!V18+⑤!V18+③!V18+⑥!V18+H!V18</f>
        <v>308526</v>
      </c>
      <c r="W18" s="151">
        <f>①!W18+②!W18+④!W18+⑤!W18+③!W18+⑥!W18+H!W18</f>
        <v>108212.20412217223</v>
      </c>
      <c r="X18" s="117">
        <f>①!X18+②!X18+④!X18+⑤!X18+③!X18+⑥!X18+H!X18</f>
        <v>193524</v>
      </c>
      <c r="Y18" s="184">
        <f>①!Y18+②!Y18+④!Y18+⑤!Y18+③!Y18+⑥!Y18+H!Y18</f>
        <v>66497.085771041136</v>
      </c>
      <c r="Z18" s="117">
        <f>①!Z18+②!Z18+④!Z18+⑤!Z18+③!Z18+⑥!Z18+H!Z18</f>
        <v>101657</v>
      </c>
      <c r="AA18" s="151">
        <f t="shared" si="3"/>
        <v>282921.49401538563</v>
      </c>
      <c r="AB18" s="117">
        <f t="shared" si="3"/>
        <v>603707</v>
      </c>
      <c r="AC18" s="129">
        <f>①!AC18+②!AC18+④!AC18+⑤!AC18+③!AC18+⑥!AC18+H!AC18</f>
        <v>257497.08577104114</v>
      </c>
      <c r="AD18" s="117">
        <f>①!AD18+②!AD18+④!AD18+⑤!AD18+③!AD18+⑥!AD18+H!AD18</f>
        <v>576242</v>
      </c>
      <c r="AE18" s="151">
        <f>①!AE18+②!AE18+④!AE18+⑤!AE18+③!AE18+⑥!AE18+H!AE18</f>
        <v>157497.08577104114</v>
      </c>
      <c r="AF18" s="117">
        <f>①!AF18+②!AF18+④!AF18+⑤!AF18+③!AF18+⑥!AF18+H!AF18</f>
        <v>262951</v>
      </c>
      <c r="AG18" s="151">
        <f>①!AG18+②!AG18+④!AG18+⑤!AG18+③!AG18+⑥!AG18+H!AG18</f>
        <v>106020.34020362039</v>
      </c>
      <c r="AH18" s="117">
        <f>①!AH18+②!AH18+④!AH18+⑤!AH18+③!AH18+⑥!AH18+H!AH18</f>
        <v>437904</v>
      </c>
      <c r="AI18" s="151">
        <f t="shared" si="4"/>
        <v>521014.51174570265</v>
      </c>
      <c r="AJ18" s="117">
        <f t="shared" si="4"/>
        <v>1277097</v>
      </c>
      <c r="AK18" s="151">
        <f t="shared" si="5"/>
        <v>803936.00576108834</v>
      </c>
      <c r="AL18" s="117">
        <f t="shared" si="5"/>
        <v>1880804</v>
      </c>
      <c r="AM18" s="129">
        <f t="shared" si="6"/>
        <v>1131924.3488452528</v>
      </c>
      <c r="AN18" s="117">
        <f t="shared" si="7"/>
        <v>3515309</v>
      </c>
    </row>
    <row r="19" spans="1:40" ht="20.25" customHeight="1" thickBot="1" x14ac:dyDescent="0.2">
      <c r="A19" s="23"/>
      <c r="B19" s="6" t="s">
        <v>72</v>
      </c>
      <c r="C19" s="151">
        <f>①!C19+②!C19+④!C19+⑤!C19+③!C19+⑥!C19+H!C19</f>
        <v>539132.10810330394</v>
      </c>
      <c r="D19" s="117">
        <f>①!D19+②!D19+④!D19+⑤!D19+③!D19+⑥!D19+H!D19</f>
        <v>30000</v>
      </c>
      <c r="E19" s="151">
        <f>①!E19+②!E19+④!E19+⑤!E19+③!E19+⑥!E19+H!E19</f>
        <v>539132.10810330394</v>
      </c>
      <c r="F19" s="117">
        <f>①!F19+②!F19+④!F19+⑤!F19+③!F19+⑥!F19+H!F19</f>
        <v>36862</v>
      </c>
      <c r="G19" s="151">
        <f>①!G19+②!G19+④!G19+⑤!G19+③!G19+⑥!G19+H!G19</f>
        <v>540665.13512912998</v>
      </c>
      <c r="H19" s="117">
        <f>①!H19+②!H19+④!H19+⑤!H19+③!H19+⑥!H19+H!H19</f>
        <v>31000</v>
      </c>
      <c r="I19" s="151">
        <f t="shared" si="0"/>
        <v>1618929.3513357379</v>
      </c>
      <c r="J19" s="117">
        <f t="shared" si="0"/>
        <v>97862</v>
      </c>
      <c r="K19" s="129">
        <f>①!K19+②!K19+④!K19+⑤!K19+③!K19+⑥!K19+H!K19</f>
        <v>576953.13512912998</v>
      </c>
      <c r="L19" s="117">
        <f>①!L19+②!L19+④!L19+⑤!L19+③!L19+⑥!L19+H!L19</f>
        <v>40000</v>
      </c>
      <c r="M19" s="151">
        <f>①!M19+②!M19+④!M19+⑤!M19+③!M19+⑥!M19+H!M19</f>
        <v>613241.13512912998</v>
      </c>
      <c r="N19" s="117">
        <f>①!N19+②!N19+④!N19+⑤!N19+③!N19+⑥!N19+H!N19</f>
        <v>32840</v>
      </c>
      <c r="O19" s="151">
        <f>①!O19+②!O19+④!O19+⑤!O19+③!O19+⑥!O19+H!O19</f>
        <v>649529.13512912998</v>
      </c>
      <c r="P19" s="117">
        <f>①!P19+②!P19+④!P19+⑤!P19+③!P19+⑥!P19+H!P19</f>
        <v>30000</v>
      </c>
      <c r="Q19" s="151">
        <f t="shared" si="1"/>
        <v>1839723.4053873899</v>
      </c>
      <c r="R19" s="117">
        <f t="shared" si="1"/>
        <v>102840</v>
      </c>
      <c r="S19" s="151">
        <f t="shared" si="2"/>
        <v>3458652.7567231278</v>
      </c>
      <c r="T19" s="117">
        <f t="shared" si="2"/>
        <v>200702</v>
      </c>
      <c r="U19" s="129">
        <f>①!U19+②!U19+④!U19+⑤!U19+③!U19+⑥!U19+H!U19</f>
        <v>697913.13512912998</v>
      </c>
      <c r="V19" s="117">
        <f>①!V19+②!V19+④!V19+⑤!V19+③!V19+⑥!V19+H!V19</f>
        <v>54520</v>
      </c>
      <c r="W19" s="151">
        <f>①!W19+②!W19+④!W19+⑤!W19+③!W19+⑥!W19+H!W19</f>
        <v>746297.13512912998</v>
      </c>
      <c r="X19" s="153">
        <f>①!X19+②!X19+④!X19+⑤!X19+③!X19+⑥!X19+H!X19</f>
        <v>95371</v>
      </c>
      <c r="Y19" s="184">
        <f>①!Y19+②!Y19+④!Y19+⑤!Y19+③!Y19+⑥!Y19+H!Y19</f>
        <v>797747.18918078206</v>
      </c>
      <c r="Z19" s="153">
        <f>①!Z19+②!Z19+④!Z19+⑤!Z19+③!Z19+⑥!Z19+H!Z19</f>
        <v>36820</v>
      </c>
      <c r="AA19" s="151">
        <f t="shared" si="3"/>
        <v>2241957.459439042</v>
      </c>
      <c r="AB19" s="117">
        <f t="shared" si="3"/>
        <v>186711</v>
      </c>
      <c r="AC19" s="129">
        <f>①!AC19+②!AC19+④!AC19+⑤!AC19+③!AC19+⑥!AC19+H!AC19</f>
        <v>870323.18918078206</v>
      </c>
      <c r="AD19" s="117">
        <f>①!AD19+②!AD19+④!AD19+⑤!AD19+③!AD19+⑥!AD19+H!AD19</f>
        <v>31620</v>
      </c>
      <c r="AE19" s="151">
        <f>①!AE19+②!AE19+④!AE19+⑤!AE19+③!AE19+⑥!AE19+H!AE19</f>
        <v>942899.18918078206</v>
      </c>
      <c r="AF19" s="117">
        <f>①!AF19+②!AF19+④!AF19+⑤!AF19+③!AF19+⑥!AF19+H!AF19</f>
        <v>32223</v>
      </c>
      <c r="AG19" s="151">
        <f>①!AG19+②!AG19+④!AG19+⑤!AG19+③!AG19+⑥!AG19+H!AG19</f>
        <v>1017519.2252152166</v>
      </c>
      <c r="AH19" s="117">
        <f>①!AH19+②!AH19+④!AH19+⑤!AH19+③!AH19+⑥!AH19+H!AH19</f>
        <v>283182</v>
      </c>
      <c r="AI19" s="151">
        <f t="shared" si="4"/>
        <v>2830741.6035767808</v>
      </c>
      <c r="AJ19" s="117">
        <f t="shared" si="4"/>
        <v>347025</v>
      </c>
      <c r="AK19" s="151">
        <f t="shared" si="5"/>
        <v>5072699.0630158223</v>
      </c>
      <c r="AL19" s="117">
        <f t="shared" si="5"/>
        <v>533736</v>
      </c>
      <c r="AM19" s="129">
        <f t="shared" si="6"/>
        <v>8531351.8197389506</v>
      </c>
      <c r="AN19" s="117">
        <f t="shared" si="7"/>
        <v>734438</v>
      </c>
    </row>
    <row r="20" spans="1:40" ht="20.25" customHeight="1" thickTop="1" thickBot="1" x14ac:dyDescent="0.2">
      <c r="A20" s="24"/>
      <c r="B20" s="7" t="s">
        <v>27</v>
      </c>
      <c r="C20" s="36">
        <f>SUM(C6:C19)</f>
        <v>159862834.76219377</v>
      </c>
      <c r="D20" s="8">
        <f>SUM(D6:D19)</f>
        <v>154906653</v>
      </c>
      <c r="E20" s="36">
        <f t="shared" ref="E20:AM20" si="8">SUM(E6:E19)</f>
        <v>183547671.7700839</v>
      </c>
      <c r="F20" s="8">
        <f t="shared" si="8"/>
        <v>177748601</v>
      </c>
      <c r="G20" s="36">
        <f t="shared" si="8"/>
        <v>172834872.2876049</v>
      </c>
      <c r="H20" s="8">
        <f t="shared" si="8"/>
        <v>171416641</v>
      </c>
      <c r="I20" s="36">
        <f t="shared" si="8"/>
        <v>516245378.81988257</v>
      </c>
      <c r="J20" s="8">
        <f t="shared" si="8"/>
        <v>504071895</v>
      </c>
      <c r="K20" s="62">
        <f t="shared" ref="K20" si="9">SUM(K6:K19)</f>
        <v>175695477.08760491</v>
      </c>
      <c r="L20" s="8">
        <f t="shared" si="8"/>
        <v>167520866</v>
      </c>
      <c r="M20" s="36">
        <f t="shared" ref="M20" si="10">SUM(M6:M19)</f>
        <v>195393163.2876049</v>
      </c>
      <c r="N20" s="8">
        <f>SUM(N6:N19)</f>
        <v>187022357</v>
      </c>
      <c r="O20" s="36">
        <f t="shared" ref="O20" si="11">SUM(O6:O19)</f>
        <v>187608791.28760493</v>
      </c>
      <c r="P20" s="8">
        <f>SUM(P6:P19)</f>
        <v>177111056</v>
      </c>
      <c r="Q20" s="36">
        <f t="shared" si="8"/>
        <v>558697431.66281474</v>
      </c>
      <c r="R20" s="8">
        <f t="shared" si="8"/>
        <v>531654279</v>
      </c>
      <c r="S20" s="36">
        <f t="shared" si="8"/>
        <v>1074942810.4826972</v>
      </c>
      <c r="T20" s="8">
        <f t="shared" si="8"/>
        <v>1035726174</v>
      </c>
      <c r="U20" s="62">
        <f t="shared" ref="U20" si="12">SUM(U6:U19)</f>
        <v>195499386.2876049</v>
      </c>
      <c r="V20" s="8">
        <f>SUM(V6:V19)</f>
        <v>186151548</v>
      </c>
      <c r="W20" s="36">
        <f t="shared" ref="W20" si="13">SUM(W6:W19)</f>
        <v>193942547.28760496</v>
      </c>
      <c r="X20" s="8">
        <f>SUM(X6:X19)</f>
        <v>179581114</v>
      </c>
      <c r="Y20" s="36">
        <f t="shared" ref="Y20" si="14">SUM(Y6:Y19)</f>
        <v>202749898.32264686</v>
      </c>
      <c r="Z20" s="8">
        <f t="shared" si="8"/>
        <v>181387598</v>
      </c>
      <c r="AA20" s="36">
        <f t="shared" si="8"/>
        <v>592191831.89785647</v>
      </c>
      <c r="AB20" s="8">
        <f t="shared" si="8"/>
        <v>547120260</v>
      </c>
      <c r="AC20" s="62">
        <f t="shared" ref="AC20" si="15">SUM(AC6:AC19)</f>
        <v>205646354.32264686</v>
      </c>
      <c r="AD20" s="8">
        <f t="shared" si="8"/>
        <v>180213924</v>
      </c>
      <c r="AE20" s="36">
        <f t="shared" ref="AE20" si="16">SUM(AE6:AE19)</f>
        <v>214006327.12264687</v>
      </c>
      <c r="AF20" s="8">
        <f>SUM(AF6:AF19)</f>
        <v>180522926</v>
      </c>
      <c r="AG20" s="36">
        <f t="shared" ref="AG20" si="17">SUM(AG6:AG19)</f>
        <v>204567220.47934148</v>
      </c>
      <c r="AH20" s="8">
        <f t="shared" si="8"/>
        <v>175735803</v>
      </c>
      <c r="AI20" s="36">
        <f t="shared" si="8"/>
        <v>624219901.92463529</v>
      </c>
      <c r="AJ20" s="8">
        <f t="shared" si="8"/>
        <v>536472653</v>
      </c>
      <c r="AK20" s="36">
        <f t="shared" si="8"/>
        <v>1216411733.8224921</v>
      </c>
      <c r="AL20" s="8">
        <f t="shared" si="8"/>
        <v>1083592913</v>
      </c>
      <c r="AM20" s="62">
        <f t="shared" si="8"/>
        <v>2291354544.3051887</v>
      </c>
      <c r="AN20" s="8">
        <f t="shared" si="7"/>
        <v>2119319087</v>
      </c>
    </row>
    <row r="21" spans="1:40" ht="20.25" customHeight="1" x14ac:dyDescent="0.15">
      <c r="A21" s="218" t="s">
        <v>28</v>
      </c>
      <c r="B21" s="219"/>
      <c r="C21" s="37">
        <f>C5-C20</f>
        <v>39806440.237806231</v>
      </c>
      <c r="D21" s="9">
        <f t="shared" ref="D21:AM21" si="18">D5-D20</f>
        <v>47715768</v>
      </c>
      <c r="E21" s="37">
        <f t="shared" si="18"/>
        <v>47055003.229916096</v>
      </c>
      <c r="F21" s="9">
        <f t="shared" si="18"/>
        <v>52911980</v>
      </c>
      <c r="G21" s="37">
        <f t="shared" si="18"/>
        <v>43726602.712395102</v>
      </c>
      <c r="H21" s="9">
        <f t="shared" si="18"/>
        <v>52065281</v>
      </c>
      <c r="I21" s="37">
        <f t="shared" si="18"/>
        <v>130588046.18011743</v>
      </c>
      <c r="J21" s="9">
        <f t="shared" si="18"/>
        <v>152693029</v>
      </c>
      <c r="K21" s="63">
        <f t="shared" ref="K21" si="19">K5-K20</f>
        <v>44532517.91239509</v>
      </c>
      <c r="L21" s="9">
        <f t="shared" si="18"/>
        <v>51595033</v>
      </c>
      <c r="M21" s="37">
        <f t="shared" ref="M21" si="20">M5-M20</f>
        <v>50472751.712395102</v>
      </c>
      <c r="N21" s="9">
        <f>N5-N20</f>
        <v>53338985</v>
      </c>
      <c r="O21" s="37">
        <f t="shared" ref="O21" si="21">O5-O20</f>
        <v>49065078.712395072</v>
      </c>
      <c r="P21" s="9">
        <f>P5-P20</f>
        <v>52180993</v>
      </c>
      <c r="Q21" s="37">
        <f t="shared" si="18"/>
        <v>144070348.33718526</v>
      </c>
      <c r="R21" s="9">
        <f t="shared" si="18"/>
        <v>157115011</v>
      </c>
      <c r="S21" s="37">
        <f t="shared" si="18"/>
        <v>274658394.51730275</v>
      </c>
      <c r="T21" s="9">
        <f>T5-T20</f>
        <v>309808040</v>
      </c>
      <c r="U21" s="63">
        <f t="shared" ref="U21" si="22">U5-U20</f>
        <v>51448843.712395102</v>
      </c>
      <c r="V21" s="9">
        <f>V5-V20</f>
        <v>50811588</v>
      </c>
      <c r="W21" s="37">
        <f t="shared" ref="W21" si="23">W5-W20</f>
        <v>51263242.712395042</v>
      </c>
      <c r="X21" s="9">
        <f>X5-X20</f>
        <v>53894844</v>
      </c>
      <c r="Y21" s="37">
        <f t="shared" ref="Y21" si="24">Y5-Y20</f>
        <v>53673451.677353144</v>
      </c>
      <c r="Z21" s="9">
        <f t="shared" si="18"/>
        <v>51996069</v>
      </c>
      <c r="AA21" s="37">
        <f t="shared" si="18"/>
        <v>156385538.10214353</v>
      </c>
      <c r="AB21" s="9">
        <f t="shared" si="18"/>
        <v>156702501</v>
      </c>
      <c r="AC21" s="63">
        <f t="shared" ref="AC21" si="25">AC5-AC20</f>
        <v>54555235.677353144</v>
      </c>
      <c r="AD21" s="9">
        <f t="shared" si="18"/>
        <v>50465235</v>
      </c>
      <c r="AE21" s="37">
        <f t="shared" ref="AE21" si="26">AE5-AE20</f>
        <v>56819102.877353132</v>
      </c>
      <c r="AF21" s="9">
        <f>AF5-AF20</f>
        <v>49536944</v>
      </c>
      <c r="AG21" s="37">
        <f t="shared" ref="AG21" si="27">AG5-AG20</f>
        <v>52650649.520658523</v>
      </c>
      <c r="AH21" s="9">
        <f t="shared" si="18"/>
        <v>49055328</v>
      </c>
      <c r="AI21" s="37">
        <f t="shared" si="18"/>
        <v>164024988.07536471</v>
      </c>
      <c r="AJ21" s="9">
        <f t="shared" si="18"/>
        <v>149057507</v>
      </c>
      <c r="AK21" s="37">
        <f t="shared" si="18"/>
        <v>320410526.17750788</v>
      </c>
      <c r="AL21" s="9">
        <f>AL5-AL20</f>
        <v>305760008</v>
      </c>
      <c r="AM21" s="63">
        <f t="shared" si="18"/>
        <v>595068920.69481134</v>
      </c>
      <c r="AN21" s="9">
        <f>AN5-AN20</f>
        <v>615568048</v>
      </c>
    </row>
    <row r="22" spans="1:40" s="11" customFormat="1" ht="20.25" customHeight="1" thickBot="1" x14ac:dyDescent="0.2">
      <c r="A22" s="210" t="s">
        <v>29</v>
      </c>
      <c r="B22" s="211"/>
      <c r="C22" s="38">
        <f>IF(C5=0,"        ―",C21/C5)</f>
        <v>0.19936187096290217</v>
      </c>
      <c r="D22" s="10">
        <f t="shared" ref="D22:AN22" si="28">IF(D5=0,"        ―",D21/D5)</f>
        <v>0.23549105654008545</v>
      </c>
      <c r="E22" s="38">
        <f t="shared" si="28"/>
        <v>0.20405228703403416</v>
      </c>
      <c r="F22" s="10">
        <f t="shared" si="28"/>
        <v>0.22939324860193602</v>
      </c>
      <c r="G22" s="38">
        <f t="shared" si="28"/>
        <v>0.20191311826073913</v>
      </c>
      <c r="H22" s="10">
        <f t="shared" si="28"/>
        <v>0.23297312164694914</v>
      </c>
      <c r="I22" s="38">
        <f t="shared" si="28"/>
        <v>0.20188821593460082</v>
      </c>
      <c r="J22" s="10">
        <f t="shared" si="28"/>
        <v>0.23249266734591933</v>
      </c>
      <c r="K22" s="64">
        <f t="shared" ref="K22" si="29">IF(K5=0,"        ―",K21/K5)</f>
        <v>0.2022109764582613</v>
      </c>
      <c r="L22" s="10">
        <f t="shared" si="28"/>
        <v>0.23546914320443721</v>
      </c>
      <c r="M22" s="38">
        <f t="shared" ref="M22" si="30">IF(M5=0,"        ―",M21/M5)</f>
        <v>0.20528568066214101</v>
      </c>
      <c r="N22" s="10">
        <f t="shared" si="28"/>
        <v>0.22191166248356195</v>
      </c>
      <c r="O22" s="38">
        <f t="shared" ref="O22" si="31">IF(O5=0,"        ―",O21/O5)</f>
        <v>0.20731092415227365</v>
      </c>
      <c r="P22" s="10">
        <f t="shared" si="28"/>
        <v>0.22757436739553058</v>
      </c>
      <c r="Q22" s="38">
        <f t="shared" si="28"/>
        <v>0.20500420257910126</v>
      </c>
      <c r="R22" s="10">
        <f t="shared" si="28"/>
        <v>0.2281097796912519</v>
      </c>
      <c r="S22" s="38">
        <f t="shared" si="28"/>
        <v>0.20351078044369614</v>
      </c>
      <c r="T22" s="10">
        <f>IF(T5=0,"        ―",T21/T5)</f>
        <v>0.23024909866766122</v>
      </c>
      <c r="U22" s="64">
        <f t="shared" ref="U22" si="32">IF(U5=0,"        ―",U21/U5)</f>
        <v>0.20833858056968094</v>
      </c>
      <c r="V22" s="10">
        <f t="shared" si="28"/>
        <v>0.21442823916712514</v>
      </c>
      <c r="W22" s="38">
        <f t="shared" ref="W22" si="33">IF(W5=0,"        ―",W21/W5)</f>
        <v>0.20906212170762786</v>
      </c>
      <c r="X22" s="10">
        <f t="shared" si="28"/>
        <v>0.23083680419034838</v>
      </c>
      <c r="Y22" s="38">
        <f t="shared" ref="Y22" si="34">IF(Y5=0,"        ―",Y21/Y5)</f>
        <v>0.20931577283173761</v>
      </c>
      <c r="Z22" s="10">
        <f t="shared" si="28"/>
        <v>0.2227922359279752</v>
      </c>
      <c r="AA22" s="38">
        <f t="shared" si="28"/>
        <v>0.20891032025473003</v>
      </c>
      <c r="AB22" s="10">
        <f t="shared" si="28"/>
        <v>0.22264483288002104</v>
      </c>
      <c r="AC22" s="64">
        <f t="shared" ref="AC22" si="35">IF(AC5=0,"        ―",AC21/AC5)</f>
        <v>0.20966526637040589</v>
      </c>
      <c r="AD22" s="10">
        <f t="shared" si="28"/>
        <v>0.2187680725851788</v>
      </c>
      <c r="AE22" s="38">
        <f t="shared" ref="AE22" si="36">IF(AE5=0,"        ―",AE21/AE5)</f>
        <v>0.20979973290304804</v>
      </c>
      <c r="AF22" s="10">
        <f t="shared" si="28"/>
        <v>0.21532196814681326</v>
      </c>
      <c r="AG22" s="38">
        <f t="shared" ref="AG22" si="37">IF(AG5=0,"        ―",AG21/AG5)</f>
        <v>0.20469281360839556</v>
      </c>
      <c r="AH22" s="10">
        <f t="shared" si="28"/>
        <v>0.21822626089282854</v>
      </c>
      <c r="AI22" s="38">
        <f t="shared" si="28"/>
        <v>0.20808886953312786</v>
      </c>
      <c r="AJ22" s="10">
        <f t="shared" si="28"/>
        <v>0.21743391567192316</v>
      </c>
      <c r="AK22" s="38">
        <f t="shared" si="28"/>
        <v>0.20848899350111436</v>
      </c>
      <c r="AL22" s="10">
        <f t="shared" si="28"/>
        <v>0.2200736784573975</v>
      </c>
      <c r="AM22" s="64">
        <f t="shared" si="28"/>
        <v>0.20616133700077557</v>
      </c>
      <c r="AN22" s="10">
        <f t="shared" si="28"/>
        <v>0.22507987262882057</v>
      </c>
    </row>
    <row r="23" spans="1:40" ht="20.25" customHeight="1" x14ac:dyDescent="0.15">
      <c r="A23" s="25" t="s">
        <v>30</v>
      </c>
      <c r="B23" s="3" t="s">
        <v>31</v>
      </c>
      <c r="C23" s="151">
        <f>①!C23+②!C23+④!C23+⑤!C23+③!C23+⑥!C23+H!C23</f>
        <v>21044664</v>
      </c>
      <c r="D23" s="117">
        <f>①!D23+②!D23+④!D23+⑤!D23+③!D23+⑥!D23+H!D23</f>
        <v>21054709</v>
      </c>
      <c r="E23" s="151">
        <f>①!E23+②!E23+④!E23+⑤!E23+③!E23+⑥!E23+H!E23</f>
        <v>21044664</v>
      </c>
      <c r="F23" s="117">
        <f>①!F23+②!F23+④!F23+⑤!F23+③!F23+⑥!F23+H!F23</f>
        <v>22677416</v>
      </c>
      <c r="G23" s="151">
        <f>①!G23+②!G23+④!G23+⑤!G23+③!G23+⑥!G23+H!G23</f>
        <v>22214664</v>
      </c>
      <c r="H23" s="117">
        <f>①!H23+②!H23+④!H23+⑤!H23+③!H23+⑥!H23+H!H23</f>
        <v>22144115</v>
      </c>
      <c r="I23" s="151">
        <f>C23+E23+G23</f>
        <v>64303992</v>
      </c>
      <c r="J23" s="117">
        <f>D23+F23+H23</f>
        <v>65876240</v>
      </c>
      <c r="K23" s="129">
        <f>①!K23+②!K23+④!K23+⑤!K23+③!K23+⑥!K23+H!K23</f>
        <v>22214664</v>
      </c>
      <c r="L23" s="117">
        <f>①!L23+②!L23+④!L23+⑤!L23+③!L23+⑥!L23+H!L23</f>
        <v>22122448</v>
      </c>
      <c r="M23" s="151">
        <f>①!M23+②!M23+④!M23+⑤!M23+③!M23+⑥!M23+H!M23</f>
        <v>22214664</v>
      </c>
      <c r="N23" s="117">
        <f>①!N23+②!N23+④!N23+⑤!N23+③!N23+⑥!N23+H!N23</f>
        <v>22657978</v>
      </c>
      <c r="O23" s="151">
        <f>①!O23+②!O23+④!O23+⑤!O23+③!O23+⑥!O23+H!O23</f>
        <v>22339664</v>
      </c>
      <c r="P23" s="117">
        <f>①!P23+②!P23+④!P23+⑤!P23+③!P23+⑥!P23+H!P23</f>
        <v>22285310</v>
      </c>
      <c r="Q23" s="151">
        <f>K23+M23+O23</f>
        <v>66768992</v>
      </c>
      <c r="R23" s="117">
        <f>L23+N23+P23</f>
        <v>67065736</v>
      </c>
      <c r="S23" s="151">
        <f>I23+Q23</f>
        <v>131072984</v>
      </c>
      <c r="T23" s="117">
        <f>J23+R23</f>
        <v>132941976</v>
      </c>
      <c r="U23" s="129">
        <f>①!U23+②!U23+④!U23+⑤!U23+③!U23+⑥!U23+H!U23</f>
        <v>22339664</v>
      </c>
      <c r="V23" s="117">
        <f>①!V23+②!V23+④!V23+⑤!V23+③!V23+⑥!V23+H!V23</f>
        <v>22222825</v>
      </c>
      <c r="W23" s="151">
        <f>①!W23+②!W23+④!W23+⑤!W23+③!W23+⑥!W23+H!W23</f>
        <v>22339664</v>
      </c>
      <c r="X23" s="117">
        <f>①!X23+②!X23+④!X23+⑤!X23+③!X23+⑥!X23+H!X23</f>
        <v>22256206</v>
      </c>
      <c r="Y23" s="151">
        <f>①!Y23+②!Y23+④!Y23+⑤!Y23+③!Y23+⑥!Y23+H!Y23</f>
        <v>22739664</v>
      </c>
      <c r="Z23" s="117">
        <f>①!Z23+②!Z23+④!Z23+⑤!Z23+③!Z23+⑥!Z23+H!Z23</f>
        <v>22527586</v>
      </c>
      <c r="AA23" s="151">
        <f>U23+W23+Y23</f>
        <v>67418992</v>
      </c>
      <c r="AB23" s="117">
        <f>V23+X23+Z23</f>
        <v>67006617</v>
      </c>
      <c r="AC23" s="129">
        <f>①!AC23+②!AC23+④!AC23+⑤!AC23+③!AC23+⑥!AC23+H!AC23</f>
        <v>22739664</v>
      </c>
      <c r="AD23" s="117">
        <f>①!AD23+②!AD23+④!AD23+⑤!AD23+③!AD23+⑥!AD23+H!AD23</f>
        <v>21535857</v>
      </c>
      <c r="AE23" s="151">
        <f>①!AE23+②!AE23+④!AE23+⑤!AE23+③!AE23+⑥!AE23+H!AE23</f>
        <v>22739664</v>
      </c>
      <c r="AF23" s="117">
        <f>①!AF23+②!AF23+④!AF23+⑤!AF23+③!AF23+⑥!AF23+H!AF23</f>
        <v>21529314</v>
      </c>
      <c r="AG23" s="151">
        <f>①!AG23+②!AG23+④!AG23+⑤!AG23+③!AG23+⑥!AG23+H!AG23</f>
        <v>23139664</v>
      </c>
      <c r="AH23" s="117">
        <f>①!AH23+②!AH23+④!AH23+⑤!AH23+③!AH23+⑥!AH23+H!AH23</f>
        <v>21412079</v>
      </c>
      <c r="AI23" s="151">
        <f>AC23+AE23+AG23</f>
        <v>68618992</v>
      </c>
      <c r="AJ23" s="117">
        <f>AD23+AF23+AH23</f>
        <v>64477250</v>
      </c>
      <c r="AK23" s="151">
        <f>AA23+AI23</f>
        <v>136037984</v>
      </c>
      <c r="AL23" s="117">
        <f>AB23+AJ23</f>
        <v>131483867</v>
      </c>
      <c r="AM23" s="129">
        <f t="shared" ref="AM23:AN38" si="38">SUM(C23,E23,G23,K23,M23,O23,U23,W23,Y23,AC23,AE23,AG23)</f>
        <v>267110968</v>
      </c>
      <c r="AN23" s="117">
        <f t="shared" si="38"/>
        <v>264425843</v>
      </c>
    </row>
    <row r="24" spans="1:40" ht="20.25" customHeight="1" x14ac:dyDescent="0.15">
      <c r="A24" s="21" t="s">
        <v>80</v>
      </c>
      <c r="B24" s="5" t="s">
        <v>32</v>
      </c>
      <c r="C24" s="151">
        <f>①!C24+②!C24+④!C24+⑤!C24+③!C24+⑥!C24+H!C24</f>
        <v>0</v>
      </c>
      <c r="D24" s="117">
        <f>①!D24+②!D24+④!D24+⑤!D24+③!D24+⑥!D24+H!D24</f>
        <v>0</v>
      </c>
      <c r="E24" s="151">
        <f>①!E24+②!E24+④!E24+⑤!E24+③!E24+⑥!E24+H!E24</f>
        <v>0</v>
      </c>
      <c r="F24" s="117">
        <f>①!F24+②!F24+④!F24+⑤!F24+③!F24+⑥!F24+H!F24</f>
        <v>0</v>
      </c>
      <c r="G24" s="151">
        <f>①!G24+②!G24+④!G24+⑤!G24+③!G24+⑥!G24+H!G24</f>
        <v>0</v>
      </c>
      <c r="H24" s="117">
        <f>①!H24+②!H24+④!H24+⑤!H24+③!H24+⑥!H24+H!H24</f>
        <v>0</v>
      </c>
      <c r="I24" s="151">
        <f t="shared" ref="I24:J31" si="39">C24+E24+G24</f>
        <v>0</v>
      </c>
      <c r="J24" s="117">
        <f t="shared" si="39"/>
        <v>0</v>
      </c>
      <c r="K24" s="129">
        <f>①!K24+②!K24+④!K24+⑤!K24+③!K24+⑥!K24+H!K24</f>
        <v>0</v>
      </c>
      <c r="L24" s="117">
        <f>①!L24+②!L24+④!L24+⑤!L24+③!L24+⑥!L24+H!L24</f>
        <v>0</v>
      </c>
      <c r="M24" s="151">
        <f>①!M24+②!M24+④!M24+⑤!M24+③!M24+⑥!M24+H!M24</f>
        <v>0</v>
      </c>
      <c r="N24" s="117">
        <f>①!N24+②!N24+④!N24+⑤!N24+③!N24+⑥!N24+H!N24</f>
        <v>0</v>
      </c>
      <c r="O24" s="151">
        <f>①!O24+②!O24+④!O24+⑤!O24+③!O24+⑥!O24+H!O24</f>
        <v>0</v>
      </c>
      <c r="P24" s="117">
        <f>①!P24+②!P24+④!P24+⑤!P24+③!P24+⑥!P24+H!P24</f>
        <v>0</v>
      </c>
      <c r="Q24" s="151">
        <f t="shared" ref="Q24:R31" si="40">K24+M24+O24</f>
        <v>0</v>
      </c>
      <c r="R24" s="117">
        <f t="shared" si="40"/>
        <v>0</v>
      </c>
      <c r="S24" s="151">
        <f t="shared" ref="S24:T31" si="41">I24+Q24</f>
        <v>0</v>
      </c>
      <c r="T24" s="117">
        <f t="shared" si="41"/>
        <v>0</v>
      </c>
      <c r="U24" s="129">
        <f>①!U24+②!U24+④!U24+⑤!U24+③!U24+⑥!U24+H!U24</f>
        <v>0</v>
      </c>
      <c r="V24" s="117">
        <f>①!V24+②!V24+④!V24+⑤!V24+③!V24+⑥!V24+H!V24</f>
        <v>0</v>
      </c>
      <c r="W24" s="151">
        <f>①!W24+②!W24+④!W24+⑤!W24+③!W24+⑥!W24+H!W24</f>
        <v>0</v>
      </c>
      <c r="X24" s="117">
        <f>①!X24+②!X24+④!X24+⑤!X24+③!X24+⑥!X24+H!X24</f>
        <v>0</v>
      </c>
      <c r="Y24" s="151">
        <f>①!Y24+②!Y24+④!Y24+⑤!Y24+③!Y24+⑥!Y24+H!Y24</f>
        <v>0</v>
      </c>
      <c r="Z24" s="117">
        <f>①!Z24+②!Z24+④!Z24+⑤!Z24+③!Z24+⑥!Z24+H!Z24</f>
        <v>0</v>
      </c>
      <c r="AA24" s="151">
        <f t="shared" ref="AA24:AB31" si="42">U24+W24+Y24</f>
        <v>0</v>
      </c>
      <c r="AB24" s="117">
        <f t="shared" si="42"/>
        <v>0</v>
      </c>
      <c r="AC24" s="129">
        <f>①!AC24+②!AC24+④!AC24+⑤!AC24+③!AC24+⑥!AC24+H!AC24</f>
        <v>0</v>
      </c>
      <c r="AD24" s="117">
        <f>①!AD24+②!AD24+④!AD24+⑤!AD24+③!AD24+⑥!AD24+H!AD24</f>
        <v>0</v>
      </c>
      <c r="AE24" s="151">
        <f>①!AE24+②!AE24+④!AE24+⑤!AE24+③!AE24+⑥!AE24+H!AE24</f>
        <v>0</v>
      </c>
      <c r="AF24" s="117">
        <f>①!AF24+②!AF24+④!AF24+⑤!AF24+③!AF24+⑥!AF24+H!AF24</f>
        <v>0</v>
      </c>
      <c r="AG24" s="151">
        <f>①!AG24+②!AG24+④!AG24+⑤!AG24+③!AG24+⑥!AG24+H!AG24</f>
        <v>0</v>
      </c>
      <c r="AH24" s="117">
        <f>①!AH24+②!AH24+④!AH24+⑤!AH24+③!AH24+⑥!AH24+H!AH24</f>
        <v>0</v>
      </c>
      <c r="AI24" s="151">
        <f t="shared" ref="AI24:AJ31" si="43">AC24+AE24+AG24</f>
        <v>0</v>
      </c>
      <c r="AJ24" s="117">
        <f t="shared" si="43"/>
        <v>0</v>
      </c>
      <c r="AK24" s="151">
        <f t="shared" ref="AK24:AL31" si="44">AA24+AI24</f>
        <v>0</v>
      </c>
      <c r="AL24" s="117">
        <f t="shared" si="44"/>
        <v>0</v>
      </c>
      <c r="AM24" s="129">
        <f t="shared" si="38"/>
        <v>0</v>
      </c>
      <c r="AN24" s="117">
        <f t="shared" si="38"/>
        <v>0</v>
      </c>
    </row>
    <row r="25" spans="1:40" ht="20.25" customHeight="1" x14ac:dyDescent="0.15">
      <c r="A25" s="23"/>
      <c r="B25" s="5" t="s">
        <v>33</v>
      </c>
      <c r="C25" s="151">
        <f>①!C25+②!C25+④!C25+⑤!C25+③!C25+⑥!C25+H!C25</f>
        <v>0</v>
      </c>
      <c r="D25" s="117">
        <f>①!D25+②!D25+④!D25+⑤!D25+③!D25+⑥!D25+H!D25</f>
        <v>0</v>
      </c>
      <c r="E25" s="151">
        <f>①!E25+②!E25+④!E25+⑤!E25+③!E25+⑥!E25+H!E25</f>
        <v>0</v>
      </c>
      <c r="F25" s="117">
        <f>①!F25+②!F25+④!F25+⑤!F25+③!F25+⑥!F25+H!F25</f>
        <v>0</v>
      </c>
      <c r="G25" s="151">
        <f>①!G25+②!G25+④!G25+⑤!G25+③!G25+⑥!G25+H!G25</f>
        <v>0</v>
      </c>
      <c r="H25" s="117">
        <f>①!H25+②!H25+④!H25+⑤!H25+③!H25+⑥!H25+H!H25</f>
        <v>0</v>
      </c>
      <c r="I25" s="151">
        <f t="shared" si="39"/>
        <v>0</v>
      </c>
      <c r="J25" s="117">
        <f t="shared" si="39"/>
        <v>0</v>
      </c>
      <c r="K25" s="129">
        <f>①!K25+②!K25+④!K25+⑤!K25+③!K25+⑥!K25+H!K25</f>
        <v>0</v>
      </c>
      <c r="L25" s="117">
        <f>①!L25+②!L25+④!L25+⑤!L25+③!L25+⑥!L25+H!L25</f>
        <v>0</v>
      </c>
      <c r="M25" s="151">
        <f>①!M25+②!M25+④!M25+⑤!M25+③!M25+⑥!M25+H!M25</f>
        <v>0</v>
      </c>
      <c r="N25" s="117">
        <f>①!N25+②!N25+④!N25+⑤!N25+③!N25+⑥!N25+H!N25</f>
        <v>0</v>
      </c>
      <c r="O25" s="151">
        <f>①!O25+②!O25+④!O25+⑤!O25+③!O25+⑥!O25+H!O25</f>
        <v>0</v>
      </c>
      <c r="P25" s="117">
        <f>①!P25+②!P25+④!P25+⑤!P25+③!P25+⑥!P25+H!P25</f>
        <v>0</v>
      </c>
      <c r="Q25" s="151">
        <f t="shared" si="40"/>
        <v>0</v>
      </c>
      <c r="R25" s="117">
        <f t="shared" si="40"/>
        <v>0</v>
      </c>
      <c r="S25" s="151">
        <f t="shared" si="41"/>
        <v>0</v>
      </c>
      <c r="T25" s="117">
        <f t="shared" si="41"/>
        <v>0</v>
      </c>
      <c r="U25" s="129">
        <f>①!U25+②!U25+④!U25+⑤!U25+③!U25+⑥!U25+H!U25</f>
        <v>0</v>
      </c>
      <c r="V25" s="117">
        <f>①!V25+②!V25+④!V25+⑤!V25+③!V25+⑥!V25+H!V25</f>
        <v>0</v>
      </c>
      <c r="W25" s="151">
        <f>①!W25+②!W25+④!W25+⑤!W25+③!W25+⑥!W25+H!W25</f>
        <v>0</v>
      </c>
      <c r="X25" s="117">
        <f>①!X25+②!X25+④!X25+⑤!X25+③!X25+⑥!X25+H!X25</f>
        <v>0</v>
      </c>
      <c r="Y25" s="151">
        <f>①!Y25+②!Y25+④!Y25+⑤!Y25+③!Y25+⑥!Y25+H!Y25</f>
        <v>0</v>
      </c>
      <c r="Z25" s="117">
        <f>①!Z25+②!Z25+④!Z25+⑤!Z25+③!Z25+⑥!Z25+H!Z25</f>
        <v>0</v>
      </c>
      <c r="AA25" s="151">
        <f t="shared" si="42"/>
        <v>0</v>
      </c>
      <c r="AB25" s="117">
        <f t="shared" si="42"/>
        <v>0</v>
      </c>
      <c r="AC25" s="129">
        <f>①!AC25+②!AC25+④!AC25+⑤!AC25+③!AC25+⑥!AC25+H!AC25</f>
        <v>0</v>
      </c>
      <c r="AD25" s="117">
        <f>①!AD25+②!AD25+④!AD25+⑤!AD25+③!AD25+⑥!AD25+H!AD25</f>
        <v>0</v>
      </c>
      <c r="AE25" s="151">
        <f>①!AE25+②!AE25+④!AE25+⑤!AE25+③!AE25+⑥!AE25+H!AE25</f>
        <v>0</v>
      </c>
      <c r="AF25" s="117">
        <f>①!AF25+②!AF25+④!AF25+⑤!AF25+③!AF25+⑥!AF25+H!AF25</f>
        <v>22600000</v>
      </c>
      <c r="AG25" s="151">
        <f>①!AG25+②!AG25+④!AG25+⑤!AG25+③!AG25+⑥!AG25+H!AG25</f>
        <v>0</v>
      </c>
      <c r="AH25" s="117">
        <f>①!AH25+②!AH25+④!AH25+⑤!AH25+③!AH25+⑥!AH25+H!AH25</f>
        <v>1000000</v>
      </c>
      <c r="AI25" s="151">
        <f t="shared" si="43"/>
        <v>0</v>
      </c>
      <c r="AJ25" s="117">
        <f t="shared" si="43"/>
        <v>23600000</v>
      </c>
      <c r="AK25" s="151">
        <f t="shared" si="44"/>
        <v>0</v>
      </c>
      <c r="AL25" s="117">
        <f t="shared" si="44"/>
        <v>23600000</v>
      </c>
      <c r="AM25" s="129">
        <f t="shared" si="38"/>
        <v>0</v>
      </c>
      <c r="AN25" s="117">
        <f t="shared" si="38"/>
        <v>23600000</v>
      </c>
    </row>
    <row r="26" spans="1:40" ht="20.25" customHeight="1" x14ac:dyDescent="0.15">
      <c r="A26" s="23"/>
      <c r="B26" s="5" t="s">
        <v>22</v>
      </c>
      <c r="C26" s="151">
        <f>①!C26+②!C26+④!C26+⑤!C26+③!C26+⑥!C26+H!C26</f>
        <v>1011409.0396760061</v>
      </c>
      <c r="D26" s="117">
        <f>①!D26+②!D26+④!D26+⑤!D26+③!D26+⑥!D26+H!D26</f>
        <v>784504</v>
      </c>
      <c r="E26" s="151">
        <f>①!E26+②!E26+④!E26+⑤!E26+③!E26+⑥!E26+H!E26</f>
        <v>1011409.0396760061</v>
      </c>
      <c r="F26" s="117">
        <f>①!F26+②!F26+④!F26+⑤!F26+③!F26+⑥!F26+H!F26</f>
        <v>813921</v>
      </c>
      <c r="G26" s="151">
        <f>①!G26+②!G26+④!G26+⑤!G26+③!G26+⑥!G26+H!G26</f>
        <v>1068978.6505388122</v>
      </c>
      <c r="H26" s="117">
        <f>①!H26+②!H26+④!H26+⑤!H26+③!H26+⑥!H26+H!H26</f>
        <v>862539</v>
      </c>
      <c r="I26" s="151">
        <f t="shared" si="39"/>
        <v>3091796.7298908243</v>
      </c>
      <c r="J26" s="117">
        <f t="shared" si="39"/>
        <v>2460964</v>
      </c>
      <c r="K26" s="129">
        <f>①!K26+②!K26+④!K26+⑤!K26+③!K26+⑥!K26+H!K26</f>
        <v>1068978.6505388122</v>
      </c>
      <c r="L26" s="117">
        <f>①!L26+②!L26+④!L26+⑤!L26+③!L26+⑥!L26+H!L26</f>
        <v>841004</v>
      </c>
      <c r="M26" s="151">
        <f>①!M26+②!M26+④!M26+⑤!M26+③!M26+⑥!M26+H!M26</f>
        <v>1068978.6505388122</v>
      </c>
      <c r="N26" s="117">
        <f>①!N26+②!N26+④!N26+⑤!N26+③!N26+⑥!N26+H!N26</f>
        <v>862363</v>
      </c>
      <c r="O26" s="151">
        <f>①!O26+②!O26+④!O26+⑤!O26+③!O26+⑥!O26+H!O26</f>
        <v>1075103.6505388122</v>
      </c>
      <c r="P26" s="117">
        <f>①!P26+②!P26+④!P26+⑤!P26+③!P26+⑥!P26+H!P26</f>
        <v>847544</v>
      </c>
      <c r="Q26" s="151">
        <f t="shared" si="40"/>
        <v>3213060.9516164362</v>
      </c>
      <c r="R26" s="117">
        <f t="shared" si="40"/>
        <v>2550911</v>
      </c>
      <c r="S26" s="151">
        <f t="shared" si="41"/>
        <v>6304857.6815072605</v>
      </c>
      <c r="T26" s="117">
        <f t="shared" si="41"/>
        <v>5011875</v>
      </c>
      <c r="U26" s="129">
        <f>①!U26+②!U26+④!U26+⑤!U26+③!U26+⑥!U26+H!U26</f>
        <v>1075103.6505388122</v>
      </c>
      <c r="V26" s="117">
        <f>①!V26+②!V26+④!V26+⑤!V26+③!V26+⑥!V26+H!V26</f>
        <v>839368</v>
      </c>
      <c r="W26" s="151">
        <f>①!W26+②!W26+④!W26+⑤!W26+③!W26+⑥!W26+H!W26</f>
        <v>1075103.6505388122</v>
      </c>
      <c r="X26" s="117">
        <f>①!X26+②!X26+④!X26+⑤!X26+③!X26+⑥!X26+H!X26</f>
        <v>847850</v>
      </c>
      <c r="Y26" s="151">
        <f>①!Y26+②!Y26+④!Y26+⑤!Y26+③!Y26+⑥!Y26+H!Y26</f>
        <v>1094703.6505388122</v>
      </c>
      <c r="Z26" s="117">
        <f>①!Z26+②!Z26+④!Z26+⑤!Z26+③!Z26+⑥!Z26+H!Z26</f>
        <v>847850</v>
      </c>
      <c r="AA26" s="151">
        <f t="shared" si="42"/>
        <v>3244910.9516164362</v>
      </c>
      <c r="AB26" s="117">
        <f t="shared" si="42"/>
        <v>2535068</v>
      </c>
      <c r="AC26" s="129">
        <f>①!AC26+②!AC26+④!AC26+⑤!AC26+③!AC26+⑥!AC26+H!AC26</f>
        <v>1094703.6505388122</v>
      </c>
      <c r="AD26" s="117">
        <f>①!AD26+②!AD26+④!AD26+⑤!AD26+③!AD26+⑥!AD26+H!AD26</f>
        <v>813102</v>
      </c>
      <c r="AE26" s="151">
        <f>①!AE26+②!AE26+④!AE26+⑤!AE26+③!AE26+⑥!AE26+H!AE26</f>
        <v>1094703.6505388122</v>
      </c>
      <c r="AF26" s="117">
        <f>①!AF26+②!AF26+④!AF26+⑤!AF26+③!AF26+⑥!AF26+H!AF26</f>
        <v>813102</v>
      </c>
      <c r="AG26" s="151">
        <f>①!AG26+②!AG26+④!AG26+⑤!AG26+③!AG26+⑥!AG26+H!AG26</f>
        <v>1114303.6505388122</v>
      </c>
      <c r="AH26" s="117">
        <f>①!AH26+②!AH26+④!AH26+⑤!AH26+③!AH26+⑥!AH26+H!AH26</f>
        <v>831805</v>
      </c>
      <c r="AI26" s="151">
        <f t="shared" si="43"/>
        <v>3303710.9516164362</v>
      </c>
      <c r="AJ26" s="117">
        <f t="shared" si="43"/>
        <v>2458009</v>
      </c>
      <c r="AK26" s="151">
        <f t="shared" si="44"/>
        <v>6548621.9032328725</v>
      </c>
      <c r="AL26" s="117">
        <f t="shared" si="44"/>
        <v>4993077</v>
      </c>
      <c r="AM26" s="129">
        <f t="shared" si="38"/>
        <v>12853479.584740132</v>
      </c>
      <c r="AN26" s="117">
        <f t="shared" si="38"/>
        <v>10004952</v>
      </c>
    </row>
    <row r="27" spans="1:40" ht="20.25" customHeight="1" x14ac:dyDescent="0.15">
      <c r="A27" s="23"/>
      <c r="B27" s="5" t="s">
        <v>67</v>
      </c>
      <c r="C27" s="151">
        <f>①!C27+②!C27+④!C27+⑤!C27+③!C27+⑥!C27+H!C27</f>
        <v>64364.283644843301</v>
      </c>
      <c r="D27" s="117">
        <f>①!D27+②!D27+④!D27+⑤!D27+③!D27+⑥!D27+H!D27</f>
        <v>93600</v>
      </c>
      <c r="E27" s="151">
        <f>①!E27+②!E27+④!E27+⑤!E27+③!E27+⑥!E27+H!E27</f>
        <v>64364.283644843301</v>
      </c>
      <c r="F27" s="117">
        <f>①!F27+②!F27+④!F27+⑤!F27+③!F27+⑥!F27+H!F27</f>
        <v>90856</v>
      </c>
      <c r="G27" s="151">
        <f>①!G27+②!G27+④!G27+⑤!G27+③!G27+⑥!G27+H!G27</f>
        <v>71549.441048652079</v>
      </c>
      <c r="H27" s="117">
        <f>①!H27+②!H27+④!H27+⑤!H27+③!H27+⑥!H27+H!H27</f>
        <v>96190</v>
      </c>
      <c r="I27" s="151">
        <f t="shared" si="39"/>
        <v>200278.0083383387</v>
      </c>
      <c r="J27" s="117">
        <f>D27+F27+H27</f>
        <v>280646</v>
      </c>
      <c r="K27" s="129">
        <f>①!K27+②!K27+④!K27+⑤!K27+③!K27+⑥!K27+H!K27</f>
        <v>71549.441048652079</v>
      </c>
      <c r="L27" s="117">
        <f>①!L27+②!L27+④!L27+⑤!L27+③!L27+⑥!L27+H!L27</f>
        <v>92578</v>
      </c>
      <c r="M27" s="151">
        <f>①!M27+②!M27+④!M27+⑤!M27+③!M27+⑥!M27+H!M27</f>
        <v>71549.441048652079</v>
      </c>
      <c r="N27" s="117">
        <f>①!N27+②!N27+④!N27+⑤!N27+③!N27+⑥!N27+H!N27</f>
        <v>97531</v>
      </c>
      <c r="O27" s="151">
        <f>①!O27+②!O27+④!O27+⑤!O27+③!O27+⑥!O27+H!O27</f>
        <v>72299.441048652079</v>
      </c>
      <c r="P27" s="117">
        <f>①!P27+②!P27+④!P27+⑤!P27+③!P27+⑥!P27+H!P27</f>
        <v>99335</v>
      </c>
      <c r="Q27" s="151">
        <f t="shared" si="40"/>
        <v>215398.32314595624</v>
      </c>
      <c r="R27" s="117">
        <f t="shared" si="40"/>
        <v>289444</v>
      </c>
      <c r="S27" s="151">
        <f t="shared" si="41"/>
        <v>415676.33148429496</v>
      </c>
      <c r="T27" s="117">
        <f t="shared" si="41"/>
        <v>570090</v>
      </c>
      <c r="U27" s="129">
        <f>①!U27+②!U27+④!U27+⑤!U27+③!U27+⑥!U27+H!U27</f>
        <v>72299.441048652079</v>
      </c>
      <c r="V27" s="117">
        <f>①!V27+②!V27+④!V27+⑤!V27+③!V27+⑥!V27+H!V27</f>
        <v>98023</v>
      </c>
      <c r="W27" s="151">
        <f>①!W27+②!W27+④!W27+⑤!W27+③!W27+⑥!W27+H!W27</f>
        <v>72299.441048652079</v>
      </c>
      <c r="X27" s="117">
        <f>①!X27+②!X27+④!X27+⑤!X27+③!X27+⑥!X27+H!X27</f>
        <v>98351</v>
      </c>
      <c r="Y27" s="151">
        <f>①!Y27+②!Y27+④!Y27+⑤!Y27+③!Y27+⑥!Y27+H!Y27</f>
        <v>74699.441048652079</v>
      </c>
      <c r="Z27" s="117">
        <f>①!Z27+②!Z27+④!Z27+⑤!Z27+③!Z27+⑥!Z27+H!Z27</f>
        <v>98351</v>
      </c>
      <c r="AA27" s="151">
        <f t="shared" si="42"/>
        <v>219298.32314595624</v>
      </c>
      <c r="AB27" s="117">
        <f t="shared" si="42"/>
        <v>294725</v>
      </c>
      <c r="AC27" s="129">
        <f>①!AC27+②!AC27+④!AC27+⑤!AC27+③!AC27+⑥!AC27+H!AC27</f>
        <v>74699.441048652079</v>
      </c>
      <c r="AD27" s="117">
        <f>①!AD27+②!AD27+④!AD27+⑤!AD27+③!AD27+⑥!AD27+H!AD27</f>
        <v>92775</v>
      </c>
      <c r="AE27" s="151">
        <f>①!AE27+②!AE27+④!AE27+⑤!AE27+③!AE27+⑥!AE27+H!AE27</f>
        <v>74699.441048652079</v>
      </c>
      <c r="AF27" s="117">
        <f>①!AF27+②!AF27+④!AF27+⑤!AF27+③!AF27+⑥!AF27+H!AF27</f>
        <v>92775</v>
      </c>
      <c r="AG27" s="151">
        <f>①!AG27+②!AG27+④!AG27+⑤!AG27+③!AG27+⑥!AG27+H!AG27</f>
        <v>77099.441048652079</v>
      </c>
      <c r="AH27" s="117">
        <f>①!AH27+②!AH27+④!AH27+⑤!AH27+③!AH27+⑥!AH27+H!AH27</f>
        <v>95776</v>
      </c>
      <c r="AI27" s="151">
        <f t="shared" si="43"/>
        <v>226498.32314595624</v>
      </c>
      <c r="AJ27" s="117">
        <f t="shared" si="43"/>
        <v>281326</v>
      </c>
      <c r="AK27" s="151">
        <f t="shared" si="44"/>
        <v>445796.64629191248</v>
      </c>
      <c r="AL27" s="117">
        <f t="shared" si="44"/>
        <v>576051</v>
      </c>
      <c r="AM27" s="129">
        <f t="shared" si="38"/>
        <v>861472.97777620715</v>
      </c>
      <c r="AN27" s="117">
        <f t="shared" si="38"/>
        <v>1146141</v>
      </c>
    </row>
    <row r="28" spans="1:40" ht="20.25" customHeight="1" x14ac:dyDescent="0.15">
      <c r="A28" s="23"/>
      <c r="B28" s="5" t="s">
        <v>23</v>
      </c>
      <c r="C28" s="151">
        <f>①!C28+②!C28+④!C28+⑤!C28+③!C28+⑥!C28+H!C28</f>
        <v>1519211.463374024</v>
      </c>
      <c r="D28" s="117">
        <f>①!D28+②!D28+④!D28+⑤!D28+③!D28+⑥!D28+H!D28</f>
        <v>1278987</v>
      </c>
      <c r="E28" s="151">
        <f>①!E28+②!E28+④!E28+⑤!E28+③!E28+⑥!E28+H!E28</f>
        <v>1519211.463374024</v>
      </c>
      <c r="F28" s="117">
        <f>①!F28+②!F28+④!F28+⑤!F28+③!F28+⑥!F28+H!F28</f>
        <v>1338462</v>
      </c>
      <c r="G28" s="151">
        <f>①!G28+②!G28+④!G28+⑤!G28+③!G28+⑥!G28+H!G28</f>
        <v>1626791.9061936897</v>
      </c>
      <c r="H28" s="117">
        <f>①!H28+②!H28+④!H28+⑤!H28+③!H28+⑥!H28+H!H28</f>
        <v>1367742</v>
      </c>
      <c r="I28" s="151">
        <f>C28+E28+G28</f>
        <v>4665214.832941738</v>
      </c>
      <c r="J28" s="117">
        <f t="shared" si="39"/>
        <v>3985191</v>
      </c>
      <c r="K28" s="129">
        <f>①!K28+②!K28+④!K28+⑤!K28+③!K28+⑥!K28+H!K28</f>
        <v>1626791.9061936897</v>
      </c>
      <c r="L28" s="117">
        <f>①!L28+②!L28+④!L28+⑤!L28+③!L28+⑥!L28+H!L28</f>
        <v>1367742</v>
      </c>
      <c r="M28" s="151">
        <f>①!M28+②!M28+④!M28+⑤!M28+③!M28+⑥!M28+H!M28</f>
        <v>1626791.9061936897</v>
      </c>
      <c r="N28" s="117">
        <f>①!N28+②!N28+④!N28+⑤!N28+③!N28+⑥!N28+H!N28</f>
        <v>1405989</v>
      </c>
      <c r="O28" s="151">
        <f>①!O28+②!O28+④!O28+⑤!O28+③!O28+⑥!O28+H!O28</f>
        <v>1638291.9061936897</v>
      </c>
      <c r="P28" s="117">
        <f>①!P28+②!P28+④!P28+⑤!P28+③!P28+⑥!P28+H!P28</f>
        <v>1359324</v>
      </c>
      <c r="Q28" s="151">
        <f t="shared" si="40"/>
        <v>4891875.7185810693</v>
      </c>
      <c r="R28" s="117">
        <f t="shared" si="40"/>
        <v>4133055</v>
      </c>
      <c r="S28" s="151">
        <f t="shared" si="41"/>
        <v>9557090.5515228063</v>
      </c>
      <c r="T28" s="117">
        <f t="shared" si="41"/>
        <v>8118246</v>
      </c>
      <c r="U28" s="129">
        <f>①!U28+②!U28+④!U28+⑤!U28+③!U28+⑥!U28+H!U28</f>
        <v>1638291.9061936897</v>
      </c>
      <c r="V28" s="117">
        <f>①!V28+②!V28+④!V28+⑤!V28+③!V28+⑥!V28+H!V28</f>
        <v>1344684</v>
      </c>
      <c r="W28" s="151">
        <f>①!W28+②!W28+④!W28+⑤!W28+③!W28+⑥!W28+H!W28</f>
        <v>1638291.9061936897</v>
      </c>
      <c r="X28" s="117">
        <f>①!X28+②!X28+④!X28+⑤!X28+③!X28+⑥!X28+H!X28</f>
        <v>1362618</v>
      </c>
      <c r="Y28" s="151">
        <f>①!Y28+②!Y28+④!Y28+⑤!Y28+③!Y28+⑥!Y28+H!Y28</f>
        <v>1675091.9061936897</v>
      </c>
      <c r="Z28" s="117">
        <f>①!Z28+②!Z28+④!Z28+⑤!Z28+③!Z28+⑥!Z28+H!Z28</f>
        <v>1362618</v>
      </c>
      <c r="AA28" s="151">
        <f t="shared" si="42"/>
        <v>4951675.7185810693</v>
      </c>
      <c r="AB28" s="117">
        <f t="shared" si="42"/>
        <v>4069920</v>
      </c>
      <c r="AC28" s="129">
        <f>①!AC28+②!AC28+④!AC28+⑤!AC28+③!AC28+⑥!AC28+H!AC28</f>
        <v>1675091.9061936897</v>
      </c>
      <c r="AD28" s="117">
        <f>①!AD28+②!AD28+④!AD28+⑤!AD28+③!AD28+⑥!AD28+H!AD28</f>
        <v>1303143</v>
      </c>
      <c r="AE28" s="151">
        <f>①!AE28+②!AE28+④!AE28+⑤!AE28+③!AE28+⑥!AE28+H!AE28</f>
        <v>1675091.9061936897</v>
      </c>
      <c r="AF28" s="117">
        <f>①!AF28+②!AF28+④!AF28+⑤!AF28+③!AF28+⑥!AF28+H!AF28</f>
        <v>1303143</v>
      </c>
      <c r="AG28" s="151">
        <f>①!AG28+②!AG28+④!AG28+⑤!AG28+③!AG28+⑥!AG28+H!AG28</f>
        <v>1711891.9061936897</v>
      </c>
      <c r="AH28" s="117">
        <f>①!AH28+②!AH28+④!AH28+⑤!AH28+③!AH28+⑥!AH28+H!AH28</f>
        <v>1336632</v>
      </c>
      <c r="AI28" s="151">
        <f t="shared" si="43"/>
        <v>5062075.7185810693</v>
      </c>
      <c r="AJ28" s="117">
        <f t="shared" si="43"/>
        <v>3942918</v>
      </c>
      <c r="AK28" s="151">
        <f t="shared" si="44"/>
        <v>10013751.437162139</v>
      </c>
      <c r="AL28" s="117">
        <f t="shared" si="44"/>
        <v>8012838</v>
      </c>
      <c r="AM28" s="129">
        <f t="shared" si="38"/>
        <v>19570841.988684945</v>
      </c>
      <c r="AN28" s="117">
        <f t="shared" si="38"/>
        <v>16131084</v>
      </c>
    </row>
    <row r="29" spans="1:40" ht="20.25" customHeight="1" x14ac:dyDescent="0.15">
      <c r="A29" s="23"/>
      <c r="B29" s="5" t="s">
        <v>24</v>
      </c>
      <c r="C29" s="151">
        <f>①!C29+②!C29+④!C29+⑤!C29+③!C29+⑥!C29+H!C29</f>
        <v>79531.680245910335</v>
      </c>
      <c r="D29" s="117">
        <f>①!D29+②!D29+④!D29+⑤!D29+③!D29+⑥!D29+H!D29</f>
        <v>81904</v>
      </c>
      <c r="E29" s="151">
        <f>①!E29+②!E29+④!E29+⑤!E29+③!E29+⑥!E29+H!E29</f>
        <v>79531.680245910335</v>
      </c>
      <c r="F29" s="117">
        <f>①!F29+②!F29+④!F29+⑤!F29+③!F29+⑥!F29+H!F29</f>
        <v>86290</v>
      </c>
      <c r="G29" s="151">
        <f>①!G29+②!G29+④!G29+⑤!G29+③!G29+⑥!G29+H!G29</f>
        <v>86298.244956365059</v>
      </c>
      <c r="H29" s="117">
        <f>①!H29+②!H29+④!H29+⑤!H29+③!H29+⑥!H29+H!H29</f>
        <v>83090</v>
      </c>
      <c r="I29" s="151">
        <f t="shared" si="39"/>
        <v>245361.60544818573</v>
      </c>
      <c r="J29" s="117">
        <f>D29+F29+H29</f>
        <v>251284</v>
      </c>
      <c r="K29" s="129">
        <f>①!K29+②!K29+④!K29+⑤!K29+③!K29+⑥!K29+H!K29</f>
        <v>86298.244956365059</v>
      </c>
      <c r="L29" s="117">
        <f>①!L29+②!L29+④!L29+⑤!L29+③!L29+⑥!L29+H!L29</f>
        <v>82948</v>
      </c>
      <c r="M29" s="151">
        <f>①!M29+②!M29+④!M29+⑤!M29+③!M29+⑥!M29+H!M29</f>
        <v>86298.244956365059</v>
      </c>
      <c r="N29" s="117">
        <f>①!N29+②!N29+④!N29+⑤!N29+③!N29+⑥!N29+H!N29</f>
        <v>86178</v>
      </c>
      <c r="O29" s="151">
        <f>①!O29+②!O29+④!O29+⑤!O29+③!O29+⑥!O29+H!O29</f>
        <v>87052.244956365059</v>
      </c>
      <c r="P29" s="117">
        <f>①!P29+②!P29+④!P29+⑤!P29+③!P29+⑥!P29+H!P29</f>
        <v>83928</v>
      </c>
      <c r="Q29" s="151">
        <f t="shared" si="40"/>
        <v>259648.73486909518</v>
      </c>
      <c r="R29" s="117">
        <f t="shared" si="40"/>
        <v>253054</v>
      </c>
      <c r="S29" s="151">
        <f t="shared" si="41"/>
        <v>505010.3403172809</v>
      </c>
      <c r="T29" s="117">
        <f t="shared" si="41"/>
        <v>504338</v>
      </c>
      <c r="U29" s="129">
        <f>①!U29+②!U29+④!U29+⑤!U29+③!U29+⑥!U29+H!U29</f>
        <v>87052.244956365059</v>
      </c>
      <c r="V29" s="117">
        <f>①!V29+②!V29+④!V29+⑤!V29+③!V29+⑥!V29+H!V29</f>
        <v>83550</v>
      </c>
      <c r="W29" s="151">
        <f>①!W29+②!W29+④!W29+⑤!W29+③!W29+⑥!W29+H!W29</f>
        <v>87052.244956365059</v>
      </c>
      <c r="X29" s="117">
        <f>①!X29+②!X29+④!X29+⑤!X29+③!X29+⑥!X29+H!X29</f>
        <v>139586</v>
      </c>
      <c r="Y29" s="151">
        <f>①!Y29+②!Y29+④!Y29+⑤!Y29+③!Y29+⑥!Y29+H!Y29</f>
        <v>89464.244956365059</v>
      </c>
      <c r="Z29" s="117">
        <f>①!Z29+②!Z29+④!Z29+⑤!Z29+③!Z29+⑥!Z29+H!Z29</f>
        <v>142292</v>
      </c>
      <c r="AA29" s="151">
        <f t="shared" si="42"/>
        <v>263568.73486909515</v>
      </c>
      <c r="AB29" s="117">
        <f t="shared" si="42"/>
        <v>365428</v>
      </c>
      <c r="AC29" s="129">
        <f>①!AC29+②!AC29+④!AC29+⑤!AC29+③!AC29+⑥!AC29+H!AC29</f>
        <v>89464.244956365059</v>
      </c>
      <c r="AD29" s="117">
        <f>①!AD29+②!AD29+④!AD29+⑤!AD29+③!AD29+⑥!AD29+H!AD29</f>
        <v>132294</v>
      </c>
      <c r="AE29" s="151">
        <f>①!AE29+②!AE29+④!AE29+⑤!AE29+③!AE29+⑥!AE29+H!AE29</f>
        <v>89464.244956365059</v>
      </c>
      <c r="AF29" s="117">
        <f>①!AF29+②!AF29+④!AF29+⑤!AF29+③!AF29+⑥!AF29+H!AF29</f>
        <v>132230</v>
      </c>
      <c r="AG29" s="151">
        <f>①!AG29+②!AG29+④!AG29+⑤!AG29+③!AG29+⑥!AG29+H!AG29</f>
        <v>91876.244956365059</v>
      </c>
      <c r="AH29" s="117">
        <f>①!AH29+②!AH29+④!AH29+⑤!AH29+③!AH29+⑥!AH29+H!AH29</f>
        <v>131050</v>
      </c>
      <c r="AI29" s="151">
        <f t="shared" si="43"/>
        <v>270804.73486909515</v>
      </c>
      <c r="AJ29" s="117">
        <f t="shared" si="43"/>
        <v>395574</v>
      </c>
      <c r="AK29" s="151">
        <f t="shared" si="44"/>
        <v>534373.4697381903</v>
      </c>
      <c r="AL29" s="117">
        <f t="shared" si="44"/>
        <v>761002</v>
      </c>
      <c r="AM29" s="129">
        <f t="shared" si="38"/>
        <v>1039383.8100554715</v>
      </c>
      <c r="AN29" s="117">
        <f t="shared" si="38"/>
        <v>1265340</v>
      </c>
    </row>
    <row r="30" spans="1:40" ht="20.25" customHeight="1" x14ac:dyDescent="0.15">
      <c r="A30" s="23"/>
      <c r="B30" s="5" t="s">
        <v>25</v>
      </c>
      <c r="C30" s="151">
        <f>①!C30+②!C30+④!C30+⑤!C30+③!C30+⑥!C30+H!C30</f>
        <v>62106.371157454058</v>
      </c>
      <c r="D30" s="117">
        <f>①!D30+②!D30+④!D30+⑤!D30+③!D30+⑥!D30+H!D30</f>
        <v>64770.326999999997</v>
      </c>
      <c r="E30" s="151">
        <f>①!E30+②!E30+④!E30+⑤!E30+③!E30+⑥!E30+H!E30</f>
        <v>62106.371157454058</v>
      </c>
      <c r="F30" s="117">
        <f>①!F30+②!F30+④!F30+⑤!F30+③!F30+⑥!F30+H!F30</f>
        <v>69662.207999999984</v>
      </c>
      <c r="G30" s="151">
        <f>①!G30+②!G30+④!G30+⑤!G30+③!G30+⑥!G30+H!G30</f>
        <v>65628.372319951537</v>
      </c>
      <c r="H30" s="117">
        <f>①!H30+②!H30+④!H30+⑤!H30+③!H30+⑥!H30+H!H30</f>
        <v>68131.065000000002</v>
      </c>
      <c r="I30" s="151">
        <f t="shared" si="39"/>
        <v>189841.11463485967</v>
      </c>
      <c r="J30" s="117">
        <f t="shared" si="39"/>
        <v>202563.59999999998</v>
      </c>
      <c r="K30" s="129">
        <f>①!K30+②!K30+④!K30+⑤!K30+③!K30+⑥!K30+H!K30</f>
        <v>65628.372319951537</v>
      </c>
      <c r="L30" s="117">
        <f>①!L30+②!L30+④!L30+⑤!L30+③!L30+⑥!L30+H!L30</f>
        <v>68060.664000000004</v>
      </c>
      <c r="M30" s="151">
        <f>①!M30+②!M30+④!M30+⑤!M30+③!M30+⑥!M30+H!M30</f>
        <v>65628.372319951537</v>
      </c>
      <c r="N30" s="117">
        <f>①!N30+②!N30+④!N30+⑤!N30+③!N30+⑥!N30+H!N30</f>
        <v>69674.003999999986</v>
      </c>
      <c r="O30" s="151">
        <f>①!O30+②!O30+④!O30+⑤!O30+③!O30+⑥!O30+H!O30</f>
        <v>66003.372319951537</v>
      </c>
      <c r="P30" s="117">
        <f>①!P30+②!P30+④!P30+⑤!P30+③!P30+⑥!P30+H!P30</f>
        <v>68549.759999999995</v>
      </c>
      <c r="Q30" s="151">
        <f t="shared" si="40"/>
        <v>197260.11695985461</v>
      </c>
      <c r="R30" s="117">
        <f t="shared" si="40"/>
        <v>206284.42800000001</v>
      </c>
      <c r="S30" s="151">
        <f t="shared" si="41"/>
        <v>387101.23159471428</v>
      </c>
      <c r="T30" s="117">
        <f t="shared" si="41"/>
        <v>408848.02799999999</v>
      </c>
      <c r="U30" s="129">
        <f>①!U30+②!U30+④!U30+⑤!U30+③!U30+⑥!U30+H!U30</f>
        <v>66003.372319951537</v>
      </c>
      <c r="V30" s="117">
        <f>①!V30+②!V30+④!V30+⑤!V30+③!V30+⑥!V30+H!V30</f>
        <v>68359.785000000003</v>
      </c>
      <c r="W30" s="151">
        <f>①!W30+②!W30+④!W30+⑤!W30+③!W30+⑥!W30+H!W30</f>
        <v>66003.372319951537</v>
      </c>
      <c r="X30" s="117">
        <f>①!X30+②!X30+④!X30+⑤!X30+③!X30+⑥!X30+H!X30</f>
        <v>68461.608000000007</v>
      </c>
      <c r="Y30" s="151">
        <f>①!Y30+②!Y30+④!Y30+⑤!Y30+③!Y30+⑥!Y30+H!Y30</f>
        <v>67203.372319951537</v>
      </c>
      <c r="Z30" s="117">
        <f>①!Z30+②!Z30+④!Z30+⑤!Z30+③!Z30+⑥!Z30+H!Z30</f>
        <v>69274.067999999999</v>
      </c>
      <c r="AA30" s="151">
        <f t="shared" si="42"/>
        <v>199210.11695985461</v>
      </c>
      <c r="AB30" s="117">
        <f t="shared" si="42"/>
        <v>206095.46100000001</v>
      </c>
      <c r="AC30" s="129">
        <f>①!AC30+②!AC30+④!AC30+⑤!AC30+③!AC30+⑥!AC30+H!AC30</f>
        <v>67203.372319951537</v>
      </c>
      <c r="AD30" s="117">
        <f>①!AD30+②!AD30+④!AD30+⑤!AD30+③!AD30+⑥!AD30+H!AD30</f>
        <v>66275.781000000003</v>
      </c>
      <c r="AE30" s="151">
        <f>①!AE30+②!AE30+④!AE30+⑤!AE30+③!AE30+⑥!AE30+H!AE30</f>
        <v>67203.372319951537</v>
      </c>
      <c r="AF30" s="117">
        <f>①!AF30+②!AF30+④!AF30+⑤!AF30+③!AF30+⑥!AF30+H!AF30</f>
        <v>66255.312000000005</v>
      </c>
      <c r="AG30" s="151">
        <f>①!AG30+②!AG30+④!AG30+⑤!AG30+③!AG30+⑥!AG30+H!AG30</f>
        <v>68403.372319951537</v>
      </c>
      <c r="AH30" s="117">
        <f>①!AH30+②!AH30+④!AH30+⑤!AH30+③!AH30+⑥!AH30+H!AH30</f>
        <v>65901.584999999992</v>
      </c>
      <c r="AI30" s="151">
        <f t="shared" si="43"/>
        <v>202810.11695985461</v>
      </c>
      <c r="AJ30" s="117">
        <f t="shared" si="43"/>
        <v>198432.67799999999</v>
      </c>
      <c r="AK30" s="151">
        <f t="shared" si="44"/>
        <v>402020.23391970922</v>
      </c>
      <c r="AL30" s="117">
        <f t="shared" si="44"/>
        <v>404528.13899999997</v>
      </c>
      <c r="AM30" s="129">
        <f t="shared" si="38"/>
        <v>789121.46551442344</v>
      </c>
      <c r="AN30" s="117">
        <f t="shared" si="38"/>
        <v>813376.1669999999</v>
      </c>
    </row>
    <row r="31" spans="1:40" ht="20.25" customHeight="1" thickBot="1" x14ac:dyDescent="0.2">
      <c r="A31" s="23"/>
      <c r="B31" s="6" t="s">
        <v>26</v>
      </c>
      <c r="C31" s="151">
        <f>①!C31+②!C31+④!C31+⑤!C31+③!C31+⑥!C31+H!C31</f>
        <v>711854</v>
      </c>
      <c r="D31" s="117">
        <f>①!D31+②!D31+④!D31+⑤!D31+③!D31+⑥!D31+H!D31</f>
        <v>535400</v>
      </c>
      <c r="E31" s="151">
        <f>①!E31+②!E31+④!E31+⑤!E31+③!E31+⑥!E31+H!E31</f>
        <v>711854</v>
      </c>
      <c r="F31" s="117">
        <f>①!F31+②!F31+④!F31+⑤!F31+③!F31+⑥!F31+H!F31</f>
        <v>543320</v>
      </c>
      <c r="G31" s="151">
        <f>①!G31+②!G31+④!G31+⑤!G31+③!G31+⑥!G31+H!G31</f>
        <v>721854</v>
      </c>
      <c r="H31" s="117">
        <f>①!H31+②!H31+④!H31+⑤!H31+③!H31+⑥!H31+H!H31</f>
        <v>566240</v>
      </c>
      <c r="I31" s="151">
        <f t="shared" si="39"/>
        <v>2145562</v>
      </c>
      <c r="J31" s="117">
        <f>D31+F31+H31</f>
        <v>1644960</v>
      </c>
      <c r="K31" s="129">
        <f>①!K31+②!K31+④!K31+⑤!K31+③!K31+⑥!K31+H!K31</f>
        <v>721854</v>
      </c>
      <c r="L31" s="117">
        <f>①!L31+②!L31+④!L31+⑤!L31+③!L31+⑥!L31+H!L31</f>
        <v>564440</v>
      </c>
      <c r="M31" s="151">
        <f>①!M31+②!M31+④!M31+⑤!M31+③!M31+⑥!M31+H!M31</f>
        <v>721854</v>
      </c>
      <c r="N31" s="117">
        <f>①!N31+②!N31+④!N31+⑤!N31+③!N31+⑥!N31+H!N31</f>
        <v>566690</v>
      </c>
      <c r="O31" s="151">
        <f>①!O31+②!O31+④!O31+⑤!O31+③!O31+⑥!O31+H!O31</f>
        <v>736854</v>
      </c>
      <c r="P31" s="117">
        <f>①!P31+②!P31+④!P31+⑤!P31+③!P31+⑥!P31+H!P31</f>
        <v>564610</v>
      </c>
      <c r="Q31" s="151">
        <f t="shared" si="40"/>
        <v>2180562</v>
      </c>
      <c r="R31" s="117">
        <f>L31+N31+P31</f>
        <v>1695740</v>
      </c>
      <c r="S31" s="151">
        <f t="shared" si="41"/>
        <v>4326124</v>
      </c>
      <c r="T31" s="117">
        <f t="shared" si="41"/>
        <v>3340700</v>
      </c>
      <c r="U31" s="129">
        <f>①!U31+②!U31+④!U31+⑤!U31+③!U31+⑥!U31+H!U31</f>
        <v>736854</v>
      </c>
      <c r="V31" s="117">
        <f>①!V31+②!V31+④!V31+⑤!V31+③!V31+⑥!V31+H!V31</f>
        <v>563770</v>
      </c>
      <c r="W31" s="151">
        <f>①!W31+②!W31+④!W31+⑤!W31+③!W31+⑥!W31+H!W31</f>
        <v>736854</v>
      </c>
      <c r="X31" s="117">
        <f>①!X31+②!X31+④!X31+⑤!X31+③!X31+⑥!X31+H!X31</f>
        <v>564330</v>
      </c>
      <c r="Y31" s="151">
        <f>①!Y31+②!Y31+④!Y31+⑤!Y31+③!Y31+⑥!Y31+H!Y31</f>
        <v>746854</v>
      </c>
      <c r="Z31" s="117">
        <f>①!Z31+②!Z31+④!Z31+⑤!Z31+③!Z31+⑥!Z31+H!Z31</f>
        <v>563770</v>
      </c>
      <c r="AA31" s="151">
        <f t="shared" si="42"/>
        <v>2220562</v>
      </c>
      <c r="AB31" s="117">
        <f>V31+X31+Z31</f>
        <v>1691870</v>
      </c>
      <c r="AC31" s="129">
        <f>①!AC31+②!AC31+④!AC31+⑤!AC31+③!AC31+⑥!AC31+H!AC31</f>
        <v>746854</v>
      </c>
      <c r="AD31" s="117">
        <f>①!AD31+②!AD31+④!AD31+⑤!AD31+③!AD31+⑥!AD31+H!AD31</f>
        <v>556070</v>
      </c>
      <c r="AE31" s="151">
        <f>①!AE31+②!AE31+④!AE31+⑤!AE31+③!AE31+⑥!AE31+H!AE31</f>
        <v>746854</v>
      </c>
      <c r="AF31" s="117">
        <f>①!AF31+②!AF31+④!AF31+⑤!AF31+③!AF31+⑥!AF31+H!AF31</f>
        <v>555790</v>
      </c>
      <c r="AG31" s="151">
        <f>①!AG31+②!AG31+④!AG31+⑤!AG31+③!AG31+⑥!AG31+H!AG31</f>
        <v>756854</v>
      </c>
      <c r="AH31" s="117">
        <f>①!AH31+②!AH31+④!AH31+⑤!AH31+③!AH31+⑥!AH31+H!AH31</f>
        <v>555116</v>
      </c>
      <c r="AI31" s="151">
        <f t="shared" si="43"/>
        <v>2250562</v>
      </c>
      <c r="AJ31" s="117">
        <f>AD31+AF31+AH31</f>
        <v>1666976</v>
      </c>
      <c r="AK31" s="151">
        <f t="shared" si="44"/>
        <v>4471124</v>
      </c>
      <c r="AL31" s="117">
        <f t="shared" si="44"/>
        <v>3358846</v>
      </c>
      <c r="AM31" s="129">
        <f t="shared" si="38"/>
        <v>8797248</v>
      </c>
      <c r="AN31" s="117">
        <f t="shared" si="38"/>
        <v>6699546</v>
      </c>
    </row>
    <row r="32" spans="1:40" ht="20.25" customHeight="1" thickTop="1" thickBot="1" x14ac:dyDescent="0.2">
      <c r="A32" s="24"/>
      <c r="B32" s="12" t="s">
        <v>27</v>
      </c>
      <c r="C32" s="39">
        <f t="shared" ref="C32:AM32" si="45">SUM(C23:C31)</f>
        <v>24493140.838098235</v>
      </c>
      <c r="D32" s="13">
        <f t="shared" si="45"/>
        <v>23893874.327</v>
      </c>
      <c r="E32" s="39">
        <f t="shared" si="45"/>
        <v>24493140.838098235</v>
      </c>
      <c r="F32" s="13">
        <f t="shared" si="45"/>
        <v>25619927.208000001</v>
      </c>
      <c r="G32" s="39">
        <f t="shared" si="45"/>
        <v>25855764.615057472</v>
      </c>
      <c r="H32" s="13">
        <f t="shared" si="45"/>
        <v>25188047.065000001</v>
      </c>
      <c r="I32" s="39">
        <f>SUM(I23:I31)</f>
        <v>74842046.291253939</v>
      </c>
      <c r="J32" s="13">
        <f>SUM(J23:J31)</f>
        <v>74701848.599999994</v>
      </c>
      <c r="K32" s="65">
        <f t="shared" ref="K32" si="46">SUM(K23:K31)</f>
        <v>25855764.615057472</v>
      </c>
      <c r="L32" s="13">
        <f>SUM(L23:L31)</f>
        <v>25139220.664000001</v>
      </c>
      <c r="M32" s="39">
        <f t="shared" ref="M32" si="47">SUM(M23:M31)</f>
        <v>25855764.615057472</v>
      </c>
      <c r="N32" s="13">
        <f>SUM(N23:N31)</f>
        <v>25746403.004000001</v>
      </c>
      <c r="O32" s="39">
        <f t="shared" ref="O32" si="48">SUM(O23:O31)</f>
        <v>26015268.615057472</v>
      </c>
      <c r="P32" s="13">
        <f t="shared" si="45"/>
        <v>25308600.760000002</v>
      </c>
      <c r="Q32" s="39">
        <f t="shared" si="45"/>
        <v>77726797.845172405</v>
      </c>
      <c r="R32" s="13">
        <f>SUM(R23:R31)</f>
        <v>76194224.428000003</v>
      </c>
      <c r="S32" s="39">
        <f t="shared" si="45"/>
        <v>152568844.13642633</v>
      </c>
      <c r="T32" s="13">
        <f t="shared" si="45"/>
        <v>150896073.028</v>
      </c>
      <c r="U32" s="65">
        <f t="shared" ref="U32" si="49">SUM(U23:U31)</f>
        <v>26015268.615057472</v>
      </c>
      <c r="V32" s="13">
        <f t="shared" si="45"/>
        <v>25220579.785</v>
      </c>
      <c r="W32" s="39">
        <f t="shared" ref="W32" si="50">SUM(W23:W31)</f>
        <v>26015268.615057472</v>
      </c>
      <c r="X32" s="13">
        <f>SUM(X23:X31)</f>
        <v>25337402.607999999</v>
      </c>
      <c r="Y32" s="39">
        <f t="shared" ref="Y32" si="51">SUM(Y23:Y31)</f>
        <v>26487680.615057472</v>
      </c>
      <c r="Z32" s="13">
        <f t="shared" si="45"/>
        <v>25611741.068</v>
      </c>
      <c r="AA32" s="39">
        <f t="shared" si="45"/>
        <v>78518217.845172405</v>
      </c>
      <c r="AB32" s="13">
        <f t="shared" si="45"/>
        <v>76169723.460999995</v>
      </c>
      <c r="AC32" s="65">
        <f t="shared" ref="AC32" si="52">SUM(AC23:AC31)</f>
        <v>26487680.615057472</v>
      </c>
      <c r="AD32" s="13">
        <f t="shared" si="45"/>
        <v>24499516.780999999</v>
      </c>
      <c r="AE32" s="39">
        <f t="shared" ref="AE32" si="53">SUM(AE23:AE31)</f>
        <v>26487680.615057472</v>
      </c>
      <c r="AF32" s="13">
        <f t="shared" si="45"/>
        <v>47092609.311999999</v>
      </c>
      <c r="AG32" s="39">
        <f t="shared" ref="AG32" si="54">SUM(AG23:AG31)</f>
        <v>26960092.615057472</v>
      </c>
      <c r="AH32" s="13">
        <f t="shared" si="45"/>
        <v>25428359.585000001</v>
      </c>
      <c r="AI32" s="39">
        <f t="shared" si="45"/>
        <v>79935453.845172405</v>
      </c>
      <c r="AJ32" s="13">
        <f t="shared" si="45"/>
        <v>97020485.678000003</v>
      </c>
      <c r="AK32" s="39">
        <f t="shared" si="45"/>
        <v>158453671.69034481</v>
      </c>
      <c r="AL32" s="13">
        <f t="shared" si="45"/>
        <v>173190209.139</v>
      </c>
      <c r="AM32" s="65">
        <f t="shared" si="45"/>
        <v>311022515.82677126</v>
      </c>
      <c r="AN32" s="13">
        <f>SUM(D32,F32,H32,L32,N32,P32,V32,X32,Z32,AD32,AF32,AH32)</f>
        <v>324086282.16699994</v>
      </c>
    </row>
    <row r="33" spans="1:40" ht="20.25" customHeight="1" x14ac:dyDescent="0.15">
      <c r="A33" s="25" t="s">
        <v>34</v>
      </c>
      <c r="B33" s="3" t="s">
        <v>35</v>
      </c>
      <c r="C33" s="151">
        <f>①!C33+②!C33+④!C33+⑤!C33+③!C33+⑥!C33+H!C33</f>
        <v>66700</v>
      </c>
      <c r="D33" s="117">
        <f>①!D33+②!D33+④!D33+⑤!D33+③!D33+⑥!D33+H!D33</f>
        <v>106659</v>
      </c>
      <c r="E33" s="151">
        <f>①!E33+②!E33+④!E33+⑤!E33+③!E33+⑥!E33+H!E33</f>
        <v>66700</v>
      </c>
      <c r="F33" s="117">
        <f>①!F33+②!F33+④!F33+⑤!F33+③!F33+⑥!F33+H!F33</f>
        <v>106140</v>
      </c>
      <c r="G33" s="151">
        <f>①!G33+②!G33+④!G33+⑤!G33+③!G33+⑥!G33+H!G33</f>
        <v>66700</v>
      </c>
      <c r="H33" s="117">
        <f>①!H33+②!H33+④!H33+⑤!H33+③!H33+⑥!H33+H!H33</f>
        <v>86114</v>
      </c>
      <c r="I33" s="151">
        <f>C33+E33+G33</f>
        <v>200100</v>
      </c>
      <c r="J33" s="117">
        <f>D33+F33+H33</f>
        <v>298913</v>
      </c>
      <c r="K33" s="129">
        <f>①!K33+②!K33+④!K33+⑤!K33+③!K33+⑥!K33+H!K33</f>
        <v>66700</v>
      </c>
      <c r="L33" s="117">
        <f>①!L33+②!L33+④!L33+⑤!L33+③!L33+⑥!L33+H!L33</f>
        <v>69889</v>
      </c>
      <c r="M33" s="151">
        <f>①!M33+②!M33+④!M33+⑤!M33+③!M33+⑥!M33+H!M33</f>
        <v>66700</v>
      </c>
      <c r="N33" s="117">
        <f>①!N33+②!N33+④!N33+⑤!N33+③!N33+⑥!N33+H!N33</f>
        <v>90952</v>
      </c>
      <c r="O33" s="151">
        <f>①!O33+②!O33+④!O33+⑤!O33+③!O33+⑥!O33+H!O33</f>
        <v>66700</v>
      </c>
      <c r="P33" s="117">
        <f>①!P33+②!P33+④!P33+⑤!P33+③!P33+⑥!P33+H!P33</f>
        <v>223945</v>
      </c>
      <c r="Q33" s="151">
        <f>K33+M33+O33</f>
        <v>200100</v>
      </c>
      <c r="R33" s="117">
        <f>L33+N33+P33</f>
        <v>384786</v>
      </c>
      <c r="S33" s="151">
        <f t="shared" ref="S33:T57" si="55">I33+Q33</f>
        <v>400200</v>
      </c>
      <c r="T33" s="117">
        <f t="shared" si="55"/>
        <v>683699</v>
      </c>
      <c r="U33" s="129">
        <f>①!U33+②!U33+④!U33+⑤!U33+③!U33+⑥!U33+H!U33</f>
        <v>66700</v>
      </c>
      <c r="V33" s="117">
        <f>①!V33+②!V33+④!V33+⑤!V33+③!V33+⑥!V33+H!V33</f>
        <v>96980</v>
      </c>
      <c r="W33" s="151">
        <f>①!W33+②!W33+④!W33+⑤!W33+③!W33+⑥!W33+H!W33</f>
        <v>66700</v>
      </c>
      <c r="X33" s="117">
        <f>①!X33+②!X33+④!X33+⑤!X33+③!X33+⑥!X33+H!X33</f>
        <v>73615</v>
      </c>
      <c r="Y33" s="151">
        <f>①!Y33+②!Y33+④!Y33+⑤!Y33+③!Y33+⑥!Y33+H!Y33</f>
        <v>66700</v>
      </c>
      <c r="Z33" s="117">
        <f>①!Z33+②!Z33+④!Z33+⑤!Z33+③!Z33+⑥!Z33+H!Z33</f>
        <v>125256</v>
      </c>
      <c r="AA33" s="151">
        <f>U33+W33+Y33</f>
        <v>200100</v>
      </c>
      <c r="AB33" s="117">
        <f>V33+X33+Z33</f>
        <v>295851</v>
      </c>
      <c r="AC33" s="129">
        <f>①!AC33+②!AC33+④!AC33+⑤!AC33+③!AC33+⑥!AC33+H!AC33</f>
        <v>66700</v>
      </c>
      <c r="AD33" s="117">
        <f>①!AD33+②!AD33+④!AD33+⑤!AD33+③!AD33+⑥!AD33+H!AD33</f>
        <v>94079</v>
      </c>
      <c r="AE33" s="151">
        <f>①!AE33+②!AE33+④!AE33+⑤!AE33+③!AE33+⑥!AE33+H!AE33</f>
        <v>136700</v>
      </c>
      <c r="AF33" s="117">
        <f>①!AF33+②!AF33+④!AF33+⑤!AF33+③!AF33+⑥!AF33+H!AF33</f>
        <v>346295</v>
      </c>
      <c r="AG33" s="151">
        <f>①!AG33+②!AG33+④!AG33+⑤!AG33+③!AG33+⑥!AG33+H!AG33</f>
        <v>66700</v>
      </c>
      <c r="AH33" s="117">
        <f>①!AH33+②!AH33+④!AH33+⑤!AH33+③!AH33+⑥!AH33+H!AH33</f>
        <v>65005</v>
      </c>
      <c r="AI33" s="151">
        <f>AC33+AE33+AG33</f>
        <v>270100</v>
      </c>
      <c r="AJ33" s="117">
        <f>AD33+AF33+AH33</f>
        <v>505379</v>
      </c>
      <c r="AK33" s="151">
        <f t="shared" ref="AK33:AL57" si="56">AA33+AI33</f>
        <v>470200</v>
      </c>
      <c r="AL33" s="117">
        <f t="shared" si="56"/>
        <v>801230</v>
      </c>
      <c r="AM33" s="129">
        <f t="shared" ref="AM33:AN57" si="57">SUM(C33,E33,G33,K33,M33,O33,U33,W33,Y33,AC33,AE33,AG33)</f>
        <v>870400</v>
      </c>
      <c r="AN33" s="117">
        <f t="shared" si="38"/>
        <v>1484929</v>
      </c>
    </row>
    <row r="34" spans="1:40" ht="20.25" customHeight="1" x14ac:dyDescent="0.15">
      <c r="A34" s="23"/>
      <c r="B34" s="5" t="s">
        <v>36</v>
      </c>
      <c r="C34" s="151">
        <f>①!C34+②!C34+④!C34+⑤!C34+③!C34+⑥!C34+H!C34</f>
        <v>624000</v>
      </c>
      <c r="D34" s="117">
        <f>①!D34+②!D34+④!D34+⑤!D34+③!D34+⑥!D34+H!D34</f>
        <v>226617</v>
      </c>
      <c r="E34" s="151">
        <f>①!E34+②!E34+④!E34+⑤!E34+③!E34+⑥!E34+H!E34</f>
        <v>624000</v>
      </c>
      <c r="F34" s="117">
        <f>①!F34+②!F34+④!F34+⑤!F34+③!F34+⑥!F34+H!F34</f>
        <v>425235</v>
      </c>
      <c r="G34" s="151">
        <f>①!G34+②!G34+④!G34+⑤!G34+③!G34+⑥!G34+H!G34</f>
        <v>634000</v>
      </c>
      <c r="H34" s="117">
        <f>①!H34+②!H34+④!H34+⑤!H34+③!H34+⑥!H34+H!H34</f>
        <v>307604</v>
      </c>
      <c r="I34" s="151">
        <f t="shared" ref="I34:J57" si="58">C34+E34+G34</f>
        <v>1882000</v>
      </c>
      <c r="J34" s="117">
        <f t="shared" si="58"/>
        <v>959456</v>
      </c>
      <c r="K34" s="129">
        <f>①!K34+②!K34+④!K34+⑤!K34+③!K34+⑥!K34+H!K34</f>
        <v>634000</v>
      </c>
      <c r="L34" s="117">
        <f>①!L34+②!L34+④!L34+⑤!L34+③!L34+⑥!L34+H!L34</f>
        <v>325916</v>
      </c>
      <c r="M34" s="151">
        <f>①!M34+②!M34+④!M34+⑤!M34+③!M34+⑥!M34+H!M34</f>
        <v>634000</v>
      </c>
      <c r="N34" s="117">
        <f>①!N34+②!N34+④!N34+⑤!N34+③!N34+⑥!N34+H!N34</f>
        <v>184650</v>
      </c>
      <c r="O34" s="151">
        <f>①!O34+②!O34+④!O34+⑤!O34+③!O34+⑥!O34+H!O34</f>
        <v>634000</v>
      </c>
      <c r="P34" s="117">
        <f>①!P34+②!P34+④!P34+⑤!P34+③!P34+⑥!P34+H!P34</f>
        <v>141897</v>
      </c>
      <c r="Q34" s="151">
        <f t="shared" ref="Q34:R57" si="59">K34+M34+O34</f>
        <v>1902000</v>
      </c>
      <c r="R34" s="117">
        <f t="shared" si="59"/>
        <v>652463</v>
      </c>
      <c r="S34" s="151">
        <f t="shared" si="55"/>
        <v>3784000</v>
      </c>
      <c r="T34" s="117">
        <f t="shared" si="55"/>
        <v>1611919</v>
      </c>
      <c r="U34" s="129">
        <f>①!U34+②!U34+④!U34+⑤!U34+③!U34+⑥!U34+H!U34</f>
        <v>634000</v>
      </c>
      <c r="V34" s="117">
        <f>①!V34+②!V34+④!V34+⑤!V34+③!V34+⑥!V34+H!V34</f>
        <v>290201</v>
      </c>
      <c r="W34" s="151">
        <f>①!W34+②!W34+④!W34+⑤!W34+③!W34+⑥!W34+H!W34</f>
        <v>634000</v>
      </c>
      <c r="X34" s="117">
        <f>①!X34+②!X34+④!X34+⑤!X34+③!X34+⑥!X34+H!X34</f>
        <v>537763</v>
      </c>
      <c r="Y34" s="151">
        <f>①!Y34+②!Y34+④!Y34+⑤!Y34+③!Y34+⑥!Y34+H!Y34</f>
        <v>634000</v>
      </c>
      <c r="Z34" s="117">
        <f>①!Z34+②!Z34+④!Z34+⑤!Z34+③!Z34+⑥!Z34+H!Z34</f>
        <v>2208143</v>
      </c>
      <c r="AA34" s="151">
        <f t="shared" ref="AA34:AB57" si="60">U34+W34+Y34</f>
        <v>1902000</v>
      </c>
      <c r="AB34" s="117">
        <f t="shared" si="60"/>
        <v>3036107</v>
      </c>
      <c r="AC34" s="129">
        <f>①!AC34+②!AC34+④!AC34+⑤!AC34+③!AC34+⑥!AC34+H!AC34</f>
        <v>634000</v>
      </c>
      <c r="AD34" s="117">
        <f>①!AD34+②!AD34+④!AD34+⑤!AD34+③!AD34+⑥!AD34+H!AD34</f>
        <v>585570</v>
      </c>
      <c r="AE34" s="151">
        <f>①!AE34+②!AE34+④!AE34+⑤!AE34+③!AE34+⑥!AE34+H!AE34</f>
        <v>634000</v>
      </c>
      <c r="AF34" s="117">
        <f>①!AF34+②!AF34+④!AF34+⑤!AF34+③!AF34+⑥!AF34+H!AF34</f>
        <v>225516</v>
      </c>
      <c r="AG34" s="151">
        <f>①!AG34+②!AG34+④!AG34+⑤!AG34+③!AG34+⑥!AG34+H!AG34</f>
        <v>634000</v>
      </c>
      <c r="AH34" s="117">
        <f>①!AH34+②!AH34+④!AH34+⑤!AH34+③!AH34+⑥!AH34+H!AH34</f>
        <v>165308</v>
      </c>
      <c r="AI34" s="151">
        <f t="shared" ref="AI34:AJ57" si="61">AC34+AE34+AG34</f>
        <v>1902000</v>
      </c>
      <c r="AJ34" s="117">
        <f t="shared" si="61"/>
        <v>976394</v>
      </c>
      <c r="AK34" s="151">
        <f t="shared" si="56"/>
        <v>3804000</v>
      </c>
      <c r="AL34" s="117">
        <f t="shared" si="56"/>
        <v>4012501</v>
      </c>
      <c r="AM34" s="129">
        <f t="shared" si="57"/>
        <v>7588000</v>
      </c>
      <c r="AN34" s="117">
        <f t="shared" si="38"/>
        <v>5624420</v>
      </c>
    </row>
    <row r="35" spans="1:40" ht="20.25" customHeight="1" x14ac:dyDescent="0.15">
      <c r="A35" s="23"/>
      <c r="B35" s="5" t="s">
        <v>37</v>
      </c>
      <c r="C35" s="151">
        <f>①!C35+②!C35+④!C35+⑤!C35+③!C35+⑥!C35+H!C35</f>
        <v>2738069</v>
      </c>
      <c r="D35" s="117">
        <f>①!D35+②!D35+④!D35+⑤!D35+③!D35+⑥!D35+H!D35</f>
        <v>2733768</v>
      </c>
      <c r="E35" s="151">
        <f>①!E35+②!E35+④!E35+⑤!E35+③!E35+⑥!E35+H!E35</f>
        <v>2738069</v>
      </c>
      <c r="F35" s="117">
        <f>①!F35+②!F35+④!F35+⑤!F35+③!F35+⑥!F35+H!F35</f>
        <v>2792860</v>
      </c>
      <c r="G35" s="151">
        <f>①!G35+②!G35+④!G35+⑤!G35+③!G35+⑥!G35+H!G35</f>
        <v>2838069</v>
      </c>
      <c r="H35" s="117">
        <f>①!H35+②!H35+④!H35+⑤!H35+③!H35+⑥!H35+H!H35</f>
        <v>2789223</v>
      </c>
      <c r="I35" s="151">
        <f t="shared" si="58"/>
        <v>8314207</v>
      </c>
      <c r="J35" s="117">
        <f t="shared" si="58"/>
        <v>8315851</v>
      </c>
      <c r="K35" s="129">
        <f>①!K35+②!K35+④!K35+⑤!K35+③!K35+⑥!K35+H!K35</f>
        <v>2838069</v>
      </c>
      <c r="L35" s="117">
        <f>①!L35+②!L35+④!L35+⑤!L35+③!L35+⑥!L35+H!L35</f>
        <v>1652617</v>
      </c>
      <c r="M35" s="151">
        <f>①!M35+②!M35+④!M35+⑤!M35+③!M35+⑥!M35+H!M35</f>
        <v>2838069</v>
      </c>
      <c r="N35" s="117">
        <f>①!N35+②!N35+④!N35+⑤!N35+③!N35+⑥!N35+H!N35</f>
        <v>1789163</v>
      </c>
      <c r="O35" s="151">
        <f>①!O35+②!O35+④!O35+⑤!O35+③!O35+⑥!O35+H!O35</f>
        <v>2838069</v>
      </c>
      <c r="P35" s="117">
        <f>①!P35+②!P35+④!P35+⑤!P35+③!P35+⑥!P35+H!P35</f>
        <v>1535393</v>
      </c>
      <c r="Q35" s="151">
        <f t="shared" si="59"/>
        <v>8514207</v>
      </c>
      <c r="R35" s="117">
        <f t="shared" si="59"/>
        <v>4977173</v>
      </c>
      <c r="S35" s="151">
        <f t="shared" si="55"/>
        <v>16828414</v>
      </c>
      <c r="T35" s="117">
        <f t="shared" si="55"/>
        <v>13293024</v>
      </c>
      <c r="U35" s="129">
        <f>①!U35+②!U35+④!U35+⑤!U35+③!U35+⑥!U35+H!U35</f>
        <v>2838069</v>
      </c>
      <c r="V35" s="117">
        <f>①!V35+②!V35+④!V35+⑤!V35+③!V35+⑥!V35+H!V35</f>
        <v>2673363</v>
      </c>
      <c r="W35" s="151">
        <f>①!W35+②!W35+④!W35+⑤!W35+③!W35+⑥!W35+H!W35</f>
        <v>2838069</v>
      </c>
      <c r="X35" s="117">
        <f>①!X35+②!X35+④!X35+⑤!X35+③!X35+⑥!X35+H!X35</f>
        <v>2739363</v>
      </c>
      <c r="Y35" s="151">
        <f>①!Y35+②!Y35+④!Y35+⑤!Y35+③!Y35+⑥!Y35+H!Y35</f>
        <v>2838069</v>
      </c>
      <c r="Z35" s="117">
        <f>①!Z35+②!Z35+④!Z35+⑤!Z35+③!Z35+⑥!Z35+H!Z35</f>
        <v>2681225</v>
      </c>
      <c r="AA35" s="151">
        <f t="shared" si="60"/>
        <v>8514207</v>
      </c>
      <c r="AB35" s="117">
        <f t="shared" si="60"/>
        <v>8093951</v>
      </c>
      <c r="AC35" s="129">
        <f>①!AC35+②!AC35+④!AC35+⑤!AC35+③!AC35+⑥!AC35+H!AC35</f>
        <v>2838069</v>
      </c>
      <c r="AD35" s="117">
        <f>①!AD35+②!AD35+④!AD35+⑤!AD35+③!AD35+⑥!AD35+H!AD35</f>
        <v>2686544</v>
      </c>
      <c r="AE35" s="151">
        <f>①!AE35+②!AE35+④!AE35+⑤!AE35+③!AE35+⑥!AE35+H!AE35</f>
        <v>2838069</v>
      </c>
      <c r="AF35" s="117">
        <f>①!AF35+②!AF35+④!AF35+⑤!AF35+③!AF35+⑥!AF35+H!AF35</f>
        <v>2680271</v>
      </c>
      <c r="AG35" s="151">
        <f>①!AG35+②!AG35+④!AG35+⑤!AG35+③!AG35+⑥!AG35+H!AG35</f>
        <v>2838069</v>
      </c>
      <c r="AH35" s="117">
        <f>①!AH35+②!AH35+④!AH35+⑤!AH35+③!AH35+⑥!AH35+H!AH35</f>
        <v>2691717</v>
      </c>
      <c r="AI35" s="151">
        <f t="shared" si="61"/>
        <v>8514207</v>
      </c>
      <c r="AJ35" s="117">
        <f t="shared" si="61"/>
        <v>8058532</v>
      </c>
      <c r="AK35" s="151">
        <f t="shared" si="56"/>
        <v>17028414</v>
      </c>
      <c r="AL35" s="117">
        <f t="shared" si="56"/>
        <v>16152483</v>
      </c>
      <c r="AM35" s="129">
        <f t="shared" si="57"/>
        <v>33856828</v>
      </c>
      <c r="AN35" s="117">
        <f t="shared" si="38"/>
        <v>29445507</v>
      </c>
    </row>
    <row r="36" spans="1:40" ht="20.25" customHeight="1" x14ac:dyDescent="0.15">
      <c r="A36" s="23"/>
      <c r="B36" s="5" t="s">
        <v>38</v>
      </c>
      <c r="C36" s="151">
        <f>①!C36+②!C36+④!C36+⑤!C36+③!C36+⑥!C36+H!C36</f>
        <v>1119343</v>
      </c>
      <c r="D36" s="117">
        <f>①!D36+②!D36+④!D36+⑤!D36+③!D36+⑥!D36+H!D36</f>
        <v>980557</v>
      </c>
      <c r="E36" s="151">
        <f>①!E36+②!E36+④!E36+⑤!E36+③!E36+⑥!E36+H!E36</f>
        <v>1119343</v>
      </c>
      <c r="F36" s="117">
        <f>①!F36+②!F36+④!F36+⑤!F36+③!F36+⑥!F36+H!F36</f>
        <v>980557</v>
      </c>
      <c r="G36" s="151">
        <f>①!G36+②!G36+④!G36+⑤!G36+③!G36+⑥!G36+H!G36</f>
        <v>1129343</v>
      </c>
      <c r="H36" s="117">
        <f>①!H36+②!H36+④!H36+⑤!H36+③!H36+⑥!H36+H!H36</f>
        <v>932076</v>
      </c>
      <c r="I36" s="151">
        <f t="shared" si="58"/>
        <v>3368029</v>
      </c>
      <c r="J36" s="117">
        <f t="shared" si="58"/>
        <v>2893190</v>
      </c>
      <c r="K36" s="129">
        <f>①!K36+②!K36+④!K36+⑤!K36+③!K36+⑥!K36+H!K36</f>
        <v>1129343</v>
      </c>
      <c r="L36" s="117">
        <f>①!L36+②!L36+④!L36+⑤!L36+③!L36+⑥!L36+H!L36</f>
        <v>927976</v>
      </c>
      <c r="M36" s="151">
        <f>①!M36+②!M36+④!M36+⑤!M36+③!M36+⑥!M36+H!M36</f>
        <v>1129343</v>
      </c>
      <c r="N36" s="117">
        <f>①!N36+②!N36+④!N36+⑤!N36+③!N36+⑥!N36+H!N36</f>
        <v>934027</v>
      </c>
      <c r="O36" s="151">
        <f>①!O36+②!O36+④!O36+⑤!O36+③!O36+⑥!O36+H!O36</f>
        <v>1129343</v>
      </c>
      <c r="P36" s="117">
        <f>①!P36+②!P36+④!P36+⑤!P36+③!P36+⑥!P36+H!P36</f>
        <v>905144</v>
      </c>
      <c r="Q36" s="151">
        <f t="shared" si="59"/>
        <v>3388029</v>
      </c>
      <c r="R36" s="117">
        <f t="shared" si="59"/>
        <v>2767147</v>
      </c>
      <c r="S36" s="151">
        <f t="shared" si="55"/>
        <v>6756058</v>
      </c>
      <c r="T36" s="117">
        <f t="shared" si="55"/>
        <v>5660337</v>
      </c>
      <c r="U36" s="129">
        <f>①!U36+②!U36+④!U36+⑤!U36+③!U36+⑥!U36+H!U36</f>
        <v>1129343</v>
      </c>
      <c r="V36" s="117">
        <f>①!V36+②!V36+④!V36+⑤!V36+③!V36+⑥!V36+H!V36</f>
        <v>979544</v>
      </c>
      <c r="W36" s="151">
        <f>①!W36+②!W36+④!W36+⑤!W36+③!W36+⑥!W36+H!W36</f>
        <v>1129343</v>
      </c>
      <c r="X36" s="117">
        <f>①!X36+②!X36+④!X36+⑤!X36+③!X36+⑥!X36+H!X36</f>
        <v>934424</v>
      </c>
      <c r="Y36" s="151">
        <f>①!Y36+②!Y36+④!Y36+⑤!Y36+③!Y36+⑥!Y36+H!Y36</f>
        <v>1129343</v>
      </c>
      <c r="Z36" s="117">
        <f>①!Z36+②!Z36+④!Z36+⑤!Z36+③!Z36+⑥!Z36+H!Z36</f>
        <v>936284</v>
      </c>
      <c r="AA36" s="151">
        <f t="shared" si="60"/>
        <v>3388029</v>
      </c>
      <c r="AB36" s="117">
        <f t="shared" si="60"/>
        <v>2850252</v>
      </c>
      <c r="AC36" s="129">
        <f>①!AC36+②!AC36+④!AC36+⑤!AC36+③!AC36+⑥!AC36+H!AC36</f>
        <v>1129343</v>
      </c>
      <c r="AD36" s="117">
        <f>①!AD36+②!AD36+④!AD36+⑤!AD36+③!AD36+⑥!AD36+H!AD36</f>
        <v>1095036</v>
      </c>
      <c r="AE36" s="151">
        <f>①!AE36+②!AE36+④!AE36+⑤!AE36+③!AE36+⑥!AE36+H!AE36</f>
        <v>1129343</v>
      </c>
      <c r="AF36" s="117">
        <f>①!AF36+②!AF36+④!AF36+⑤!AF36+③!AF36+⑥!AF36+H!AF36</f>
        <v>933277</v>
      </c>
      <c r="AG36" s="151">
        <f>①!AG36+②!AG36+④!AG36+⑤!AG36+③!AG36+⑥!AG36+H!AG36</f>
        <v>1129343</v>
      </c>
      <c r="AH36" s="117">
        <f>①!AH36+②!AH36+④!AH36+⑤!AH36+③!AH36+⑥!AH36+H!AH36</f>
        <v>933277</v>
      </c>
      <c r="AI36" s="151">
        <f t="shared" si="61"/>
        <v>3388029</v>
      </c>
      <c r="AJ36" s="117">
        <f t="shared" si="61"/>
        <v>2961590</v>
      </c>
      <c r="AK36" s="151">
        <f t="shared" si="56"/>
        <v>6776058</v>
      </c>
      <c r="AL36" s="117">
        <f t="shared" si="56"/>
        <v>5811842</v>
      </c>
      <c r="AM36" s="129">
        <f t="shared" si="57"/>
        <v>13532116</v>
      </c>
      <c r="AN36" s="117">
        <f t="shared" si="38"/>
        <v>11472179</v>
      </c>
    </row>
    <row r="37" spans="1:40" ht="20.25" customHeight="1" x14ac:dyDescent="0.15">
      <c r="A37" s="23"/>
      <c r="B37" s="5" t="s">
        <v>39</v>
      </c>
      <c r="C37" s="151">
        <f>①!C37+②!C37+④!C37+⑤!C37+③!C37+⑥!C37+H!C37</f>
        <v>410340</v>
      </c>
      <c r="D37" s="117">
        <f>①!D37+②!D37+④!D37+⑤!D37+③!D37+⑥!D37+H!D37</f>
        <v>353388</v>
      </c>
      <c r="E37" s="151">
        <f>①!E37+②!E37+④!E37+⑤!E37+③!E37+⑥!E37+H!E37</f>
        <v>410340</v>
      </c>
      <c r="F37" s="117">
        <f>①!F37+②!F37+④!F37+⑤!F37+③!F37+⑥!F37+H!F37</f>
        <v>186888</v>
      </c>
      <c r="G37" s="151">
        <f>①!G37+②!G37+④!G37+⑤!G37+③!G37+⑥!G37+H!G37</f>
        <v>410340</v>
      </c>
      <c r="H37" s="117">
        <f>①!H37+②!H37+④!H37+⑤!H37+③!H37+⑥!H37+H!H37</f>
        <v>186888</v>
      </c>
      <c r="I37" s="151">
        <f t="shared" si="58"/>
        <v>1231020</v>
      </c>
      <c r="J37" s="117">
        <f t="shared" si="58"/>
        <v>727164</v>
      </c>
      <c r="K37" s="129">
        <f>①!K37+②!K37+④!K37+⑤!K37+③!K37+⑥!K37+H!K37</f>
        <v>410340</v>
      </c>
      <c r="L37" s="117">
        <f>①!L37+②!L37+④!L37+⑤!L37+③!L37+⑥!L37+H!L37</f>
        <v>184218</v>
      </c>
      <c r="M37" s="151">
        <f>①!M37+②!M37+④!M37+⑤!M37+③!M37+⑥!M37+H!M37</f>
        <v>410340</v>
      </c>
      <c r="N37" s="117">
        <f>①!N37+②!N37+④!N37+⑤!N37+③!N37+⑥!N37+H!N37</f>
        <v>225068</v>
      </c>
      <c r="O37" s="151">
        <f>①!O37+②!O37+④!O37+⑤!O37+③!O37+⑥!O37+H!O37</f>
        <v>410340</v>
      </c>
      <c r="P37" s="117">
        <f>①!P37+②!P37+④!P37+⑤!P37+③!P37+⑥!P37+H!P37</f>
        <v>222238</v>
      </c>
      <c r="Q37" s="151">
        <f t="shared" si="59"/>
        <v>1231020</v>
      </c>
      <c r="R37" s="117">
        <f t="shared" si="59"/>
        <v>631524</v>
      </c>
      <c r="S37" s="151">
        <f t="shared" si="55"/>
        <v>2462040</v>
      </c>
      <c r="T37" s="117">
        <f t="shared" si="55"/>
        <v>1358688</v>
      </c>
      <c r="U37" s="129">
        <f>①!U37+②!U37+④!U37+⑤!U37+③!U37+⑥!U37+H!U37</f>
        <v>410340</v>
      </c>
      <c r="V37" s="117">
        <f>①!V37+②!V37+④!V37+⑤!V37+③!V37+⑥!V37+H!V37</f>
        <v>205978</v>
      </c>
      <c r="W37" s="151">
        <f>①!W37+②!W37+④!W37+⑤!W37+③!W37+⑥!W37+H!W37</f>
        <v>410340</v>
      </c>
      <c r="X37" s="117">
        <f>①!X37+②!X37+④!X37+⑤!X37+③!X37+⑥!X37+H!X37</f>
        <v>205978</v>
      </c>
      <c r="Y37" s="151">
        <f>①!Y37+②!Y37+④!Y37+⑤!Y37+③!Y37+⑥!Y37+H!Y37</f>
        <v>410340</v>
      </c>
      <c r="Z37" s="117">
        <f>①!Z37+②!Z37+④!Z37+⑤!Z37+③!Z37+⑥!Z37+H!Z37</f>
        <v>252538</v>
      </c>
      <c r="AA37" s="151">
        <f t="shared" si="60"/>
        <v>1231020</v>
      </c>
      <c r="AB37" s="117">
        <f t="shared" si="60"/>
        <v>664494</v>
      </c>
      <c r="AC37" s="129">
        <f>①!AC37+②!AC37+④!AC37+⑤!AC37+③!AC37+⑥!AC37+H!AC37</f>
        <v>410340</v>
      </c>
      <c r="AD37" s="117">
        <f>①!AD37+②!AD37+④!AD37+⑤!AD37+③!AD37+⑥!AD37+H!AD37</f>
        <v>164968</v>
      </c>
      <c r="AE37" s="151">
        <f>①!AE37+②!AE37+④!AE37+⑤!AE37+③!AE37+⑥!AE37+H!AE37</f>
        <v>410340</v>
      </c>
      <c r="AF37" s="117">
        <f>①!AF37+②!AF37+④!AF37+⑤!AF37+③!AF37+⑥!AF37+H!AF37</f>
        <v>385458</v>
      </c>
      <c r="AG37" s="151">
        <f>①!AG37+②!AG37+④!AG37+⑤!AG37+③!AG37+⑥!AG37+H!AG37</f>
        <v>410340</v>
      </c>
      <c r="AH37" s="117">
        <f>①!AH37+②!AH37+④!AH37+⑤!AH37+③!AH37+⑥!AH37+H!AH37</f>
        <v>227838</v>
      </c>
      <c r="AI37" s="151">
        <f t="shared" si="61"/>
        <v>1231020</v>
      </c>
      <c r="AJ37" s="117">
        <f t="shared" si="61"/>
        <v>778264</v>
      </c>
      <c r="AK37" s="151">
        <f t="shared" si="56"/>
        <v>2462040</v>
      </c>
      <c r="AL37" s="117">
        <f t="shared" si="56"/>
        <v>1442758</v>
      </c>
      <c r="AM37" s="129">
        <f t="shared" si="57"/>
        <v>4924080</v>
      </c>
      <c r="AN37" s="117">
        <f t="shared" si="38"/>
        <v>2801446</v>
      </c>
    </row>
    <row r="38" spans="1:40" ht="20.25" customHeight="1" x14ac:dyDescent="0.15">
      <c r="A38" s="23"/>
      <c r="B38" s="5" t="s">
        <v>40</v>
      </c>
      <c r="C38" s="151">
        <f>①!C38+②!C38+④!C38+⑤!C38+③!C38+⑥!C38+H!C38</f>
        <v>26000</v>
      </c>
      <c r="D38" s="117">
        <f>①!D38+②!D38+④!D38+⑤!D38+③!D38+⑥!D38+H!D38</f>
        <v>0</v>
      </c>
      <c r="E38" s="151">
        <f>①!E38+②!E38+④!E38+⑤!E38+③!E38+⑥!E38+H!E38</f>
        <v>26000</v>
      </c>
      <c r="F38" s="117">
        <f>①!F38+②!F38+④!F38+⑤!F38+③!F38+⑥!F38+H!F38</f>
        <v>0</v>
      </c>
      <c r="G38" s="151">
        <f>①!G38+②!G38+④!G38+⑤!G38+③!G38+⑥!G38+H!G38</f>
        <v>26000</v>
      </c>
      <c r="H38" s="117">
        <f>①!H38+②!H38+④!H38+⑤!H38+③!H38+⑥!H38+H!H38</f>
        <v>0</v>
      </c>
      <c r="I38" s="151">
        <f t="shared" si="58"/>
        <v>78000</v>
      </c>
      <c r="J38" s="117">
        <f t="shared" si="58"/>
        <v>0</v>
      </c>
      <c r="K38" s="129">
        <f>①!K38+②!K38+④!K38+⑤!K38+③!K38+⑥!K38+H!K38</f>
        <v>26000</v>
      </c>
      <c r="L38" s="117">
        <f>①!L38+②!L38+④!L38+⑤!L38+③!L38+⑥!L38+H!L38</f>
        <v>0</v>
      </c>
      <c r="M38" s="151">
        <f>①!M38+②!M38+④!M38+⑤!M38+③!M38+⑥!M38+H!M38</f>
        <v>26000</v>
      </c>
      <c r="N38" s="117">
        <f>①!N38+②!N38+④!N38+⑤!N38+③!N38+⑥!N38+H!N38</f>
        <v>0</v>
      </c>
      <c r="O38" s="151">
        <f>①!O38+②!O38+④!O38+⑤!O38+③!O38+⑥!O38+H!O38</f>
        <v>26000</v>
      </c>
      <c r="P38" s="117">
        <f>①!P38+②!P38+④!P38+⑤!P38+③!P38+⑥!P38+H!P38</f>
        <v>0</v>
      </c>
      <c r="Q38" s="151">
        <f t="shared" si="59"/>
        <v>78000</v>
      </c>
      <c r="R38" s="117">
        <f t="shared" si="59"/>
        <v>0</v>
      </c>
      <c r="S38" s="151">
        <f t="shared" si="55"/>
        <v>156000</v>
      </c>
      <c r="T38" s="117">
        <f t="shared" si="55"/>
        <v>0</v>
      </c>
      <c r="U38" s="129">
        <f>①!U38+②!U38+④!U38+⑤!U38+③!U38+⑥!U38+H!U38</f>
        <v>26000</v>
      </c>
      <c r="V38" s="117">
        <f>①!V38+②!V38+④!V38+⑤!V38+③!V38+⑥!V38+H!V38</f>
        <v>0</v>
      </c>
      <c r="W38" s="151">
        <f>①!W38+②!W38+④!W38+⑤!W38+③!W38+⑥!W38+H!W38</f>
        <v>26000</v>
      </c>
      <c r="X38" s="117">
        <f>①!X38+②!X38+④!X38+⑤!X38+③!X38+⑥!X38+H!X38</f>
        <v>0</v>
      </c>
      <c r="Y38" s="151">
        <f>①!Y38+②!Y38+④!Y38+⑤!Y38+③!Y38+⑥!Y38+H!Y38</f>
        <v>26000</v>
      </c>
      <c r="Z38" s="117">
        <f>①!Z38+②!Z38+④!Z38+⑤!Z38+③!Z38+⑥!Z38+H!Z38</f>
        <v>0</v>
      </c>
      <c r="AA38" s="151">
        <f t="shared" si="60"/>
        <v>78000</v>
      </c>
      <c r="AB38" s="117">
        <f t="shared" si="60"/>
        <v>0</v>
      </c>
      <c r="AC38" s="129">
        <f>①!AC38+②!AC38+④!AC38+⑤!AC38+③!AC38+⑥!AC38+H!AC38</f>
        <v>26000</v>
      </c>
      <c r="AD38" s="117">
        <f>①!AD38+②!AD38+④!AD38+⑤!AD38+③!AD38+⑥!AD38+H!AD38</f>
        <v>0</v>
      </c>
      <c r="AE38" s="151">
        <f>①!AE38+②!AE38+④!AE38+⑤!AE38+③!AE38+⑥!AE38+H!AE38</f>
        <v>26000</v>
      </c>
      <c r="AF38" s="117">
        <f>①!AF38+②!AF38+④!AF38+⑤!AF38+③!AF38+⑥!AF38+H!AF38</f>
        <v>0</v>
      </c>
      <c r="AG38" s="151">
        <f>①!AG38+②!AG38+④!AG38+⑤!AG38+③!AG38+⑥!AG38+H!AG38</f>
        <v>26000</v>
      </c>
      <c r="AH38" s="117">
        <f>①!AH38+②!AH38+④!AH38+⑤!AH38+③!AH38+⑥!AH38+H!AH38</f>
        <v>0</v>
      </c>
      <c r="AI38" s="151">
        <f t="shared" si="61"/>
        <v>78000</v>
      </c>
      <c r="AJ38" s="117">
        <f t="shared" si="61"/>
        <v>0</v>
      </c>
      <c r="AK38" s="151">
        <f t="shared" si="56"/>
        <v>156000</v>
      </c>
      <c r="AL38" s="117">
        <f t="shared" si="56"/>
        <v>0</v>
      </c>
      <c r="AM38" s="129">
        <f t="shared" si="57"/>
        <v>312000</v>
      </c>
      <c r="AN38" s="117">
        <f t="shared" si="38"/>
        <v>0</v>
      </c>
    </row>
    <row r="39" spans="1:40" ht="20.25" customHeight="1" x14ac:dyDescent="0.15">
      <c r="A39" s="23"/>
      <c r="B39" s="5" t="s">
        <v>41</v>
      </c>
      <c r="C39" s="151">
        <f>①!C39+②!C39+④!C39+⑤!C39+③!C39+⑥!C39+H!C39</f>
        <v>392264</v>
      </c>
      <c r="D39" s="117">
        <f>①!D39+②!D39+④!D39+⑤!D39+③!D39+⑥!D39+H!D39</f>
        <v>146934</v>
      </c>
      <c r="E39" s="151">
        <f>①!E39+②!E39+④!E39+⑤!E39+③!E39+⑥!E39+H!E39</f>
        <v>392264</v>
      </c>
      <c r="F39" s="117">
        <f>①!F39+②!F39+④!F39+⑤!F39+③!F39+⑥!F39+H!F39</f>
        <v>145499</v>
      </c>
      <c r="G39" s="151">
        <f>①!G39+②!G39+④!G39+⑤!G39+③!G39+⑥!G39+H!G39</f>
        <v>392264</v>
      </c>
      <c r="H39" s="117">
        <f>①!H39+②!H39+④!H39+⑤!H39+③!H39+⑥!H39+H!H39</f>
        <v>134974</v>
      </c>
      <c r="I39" s="151">
        <f t="shared" si="58"/>
        <v>1176792</v>
      </c>
      <c r="J39" s="117">
        <f t="shared" si="58"/>
        <v>427407</v>
      </c>
      <c r="K39" s="129">
        <f>①!K39+②!K39+④!K39+⑤!K39+③!K39+⑥!K39+H!K39</f>
        <v>392264</v>
      </c>
      <c r="L39" s="117">
        <f>①!L39+②!L39+④!L39+⑤!L39+③!L39+⑥!L39+H!L39</f>
        <v>113169</v>
      </c>
      <c r="M39" s="151">
        <f>①!M39+②!M39+④!M39+⑤!M39+③!M39+⑥!M39+H!M39</f>
        <v>392264</v>
      </c>
      <c r="N39" s="117">
        <f>①!N39+②!N39+④!N39+⑤!N39+③!N39+⑥!N39+H!N39</f>
        <v>155221</v>
      </c>
      <c r="O39" s="151">
        <f>①!O39+②!O39+④!O39+⑤!O39+③!O39+⑥!O39+H!O39</f>
        <v>392264</v>
      </c>
      <c r="P39" s="117">
        <f>①!P39+②!P39+④!P39+⑤!P39+③!P39+⑥!P39+H!P39</f>
        <v>107703</v>
      </c>
      <c r="Q39" s="151">
        <f t="shared" si="59"/>
        <v>1176792</v>
      </c>
      <c r="R39" s="117">
        <f t="shared" si="59"/>
        <v>376093</v>
      </c>
      <c r="S39" s="151">
        <f t="shared" si="55"/>
        <v>2353584</v>
      </c>
      <c r="T39" s="117">
        <f t="shared" si="55"/>
        <v>803500</v>
      </c>
      <c r="U39" s="129">
        <f>①!U39+②!U39+④!U39+⑤!U39+③!U39+⑥!U39+H!U39</f>
        <v>392264</v>
      </c>
      <c r="V39" s="117">
        <f>①!V39+②!V39+④!V39+⑤!V39+③!V39+⑥!V39+H!V39</f>
        <v>100017</v>
      </c>
      <c r="W39" s="151">
        <f>①!W39+②!W39+④!W39+⑤!W39+③!W39+⑥!W39+H!W39</f>
        <v>392264</v>
      </c>
      <c r="X39" s="117">
        <f>①!X39+②!X39+④!X39+⑤!X39+③!X39+⑥!X39+H!X39</f>
        <v>87558</v>
      </c>
      <c r="Y39" s="151">
        <f>①!Y39+②!Y39+④!Y39+⑤!Y39+③!Y39+⑥!Y39+H!Y39</f>
        <v>392264</v>
      </c>
      <c r="Z39" s="117">
        <f>①!Z39+②!Z39+④!Z39+⑤!Z39+③!Z39+⑥!Z39+H!Z39</f>
        <v>104319</v>
      </c>
      <c r="AA39" s="151">
        <f t="shared" si="60"/>
        <v>1176792</v>
      </c>
      <c r="AB39" s="117">
        <f t="shared" si="60"/>
        <v>291894</v>
      </c>
      <c r="AC39" s="129">
        <f>①!AC39+②!AC39+④!AC39+⑤!AC39+③!AC39+⑥!AC39+H!AC39</f>
        <v>392264</v>
      </c>
      <c r="AD39" s="117">
        <f>①!AD39+②!AD39+④!AD39+⑤!AD39+③!AD39+⑥!AD39+H!AD39</f>
        <v>63408</v>
      </c>
      <c r="AE39" s="151">
        <f>①!AE39+②!AE39+④!AE39+⑤!AE39+③!AE39+⑥!AE39+H!AE39</f>
        <v>392264</v>
      </c>
      <c r="AF39" s="117">
        <f>①!AF39+②!AF39+④!AF39+⑤!AF39+③!AF39+⑥!AF39+H!AF39</f>
        <v>109516</v>
      </c>
      <c r="AG39" s="151">
        <f>①!AG39+②!AG39+④!AG39+⑤!AG39+③!AG39+⑥!AG39+H!AG39</f>
        <v>392264</v>
      </c>
      <c r="AH39" s="117">
        <f>①!AH39+②!AH39+④!AH39+⑤!AH39+③!AH39+⑥!AH39+H!AH39</f>
        <v>100078</v>
      </c>
      <c r="AI39" s="151">
        <f t="shared" si="61"/>
        <v>1176792</v>
      </c>
      <c r="AJ39" s="117">
        <f t="shared" si="61"/>
        <v>273002</v>
      </c>
      <c r="AK39" s="151">
        <f t="shared" si="56"/>
        <v>2353584</v>
      </c>
      <c r="AL39" s="117">
        <f t="shared" si="56"/>
        <v>564896</v>
      </c>
      <c r="AM39" s="129">
        <f t="shared" si="57"/>
        <v>4707168</v>
      </c>
      <c r="AN39" s="117">
        <f>SUM(D39,F39,H39,L39,N39,P39,V39,X39,Z39,AD39,AF39,AH39)</f>
        <v>1368396</v>
      </c>
    </row>
    <row r="40" spans="1:40" ht="20.25" customHeight="1" x14ac:dyDescent="0.15">
      <c r="A40" s="23"/>
      <c r="B40" s="5" t="s">
        <v>42</v>
      </c>
      <c r="C40" s="151">
        <f>①!C40+②!C40+④!C40+⑤!C40+③!C40+⑥!C40+H!C40</f>
        <v>35000</v>
      </c>
      <c r="D40" s="117">
        <f>①!D40+②!D40+④!D40+⑤!D40+③!D40+⑥!D40+H!D40</f>
        <v>9574</v>
      </c>
      <c r="E40" s="151">
        <f>①!E40+②!E40+④!E40+⑤!E40+③!E40+⑥!E40+H!E40</f>
        <v>35000</v>
      </c>
      <c r="F40" s="117">
        <f>①!F40+②!F40+④!F40+⑤!F40+③!F40+⑥!F40+H!F40</f>
        <v>10387</v>
      </c>
      <c r="G40" s="151">
        <f>①!G40+②!G40+④!G40+⑤!G40+③!G40+⑥!G40+H!G40</f>
        <v>35000</v>
      </c>
      <c r="H40" s="117">
        <f>①!H40+②!H40+④!H40+⑤!H40+③!H40+⑥!H40+H!H40</f>
        <v>37785</v>
      </c>
      <c r="I40" s="151">
        <f t="shared" si="58"/>
        <v>105000</v>
      </c>
      <c r="J40" s="117">
        <f t="shared" si="58"/>
        <v>57746</v>
      </c>
      <c r="K40" s="129">
        <f>①!K40+②!K40+④!K40+⑤!K40+③!K40+⑥!K40+H!K40</f>
        <v>55000</v>
      </c>
      <c r="L40" s="117">
        <f>①!L40+②!L40+④!L40+⑤!L40+③!L40+⑥!L40+H!L40</f>
        <v>86022</v>
      </c>
      <c r="M40" s="151">
        <f>①!M40+②!M40+④!M40+⑤!M40+③!M40+⑥!M40+H!M40</f>
        <v>55000</v>
      </c>
      <c r="N40" s="117">
        <f>①!N40+②!N40+④!N40+⑤!N40+③!N40+⑥!N40+H!N40</f>
        <v>40204</v>
      </c>
      <c r="O40" s="151">
        <f>①!O40+②!O40+④!O40+⑤!O40+③!O40+⑥!O40+H!O40</f>
        <v>35000</v>
      </c>
      <c r="P40" s="117">
        <f>①!P40+②!P40+④!P40+⑤!P40+③!P40+⑥!P40+H!P40</f>
        <v>49741</v>
      </c>
      <c r="Q40" s="151">
        <f t="shared" si="59"/>
        <v>145000</v>
      </c>
      <c r="R40" s="117">
        <f t="shared" si="59"/>
        <v>175967</v>
      </c>
      <c r="S40" s="151">
        <f t="shared" si="55"/>
        <v>250000</v>
      </c>
      <c r="T40" s="117">
        <f t="shared" si="55"/>
        <v>233713</v>
      </c>
      <c r="U40" s="129">
        <f>①!U40+②!U40+④!U40+⑤!U40+③!U40+⑥!U40+H!U40</f>
        <v>35000</v>
      </c>
      <c r="V40" s="117">
        <f>①!V40+②!V40+④!V40+⑤!V40+③!V40+⑥!V40+H!V40</f>
        <v>30977</v>
      </c>
      <c r="W40" s="151">
        <f>①!W40+②!W40+④!W40+⑤!W40+③!W40+⑥!W40+H!W40</f>
        <v>35000</v>
      </c>
      <c r="X40" s="117">
        <f>①!X40+②!X40+④!X40+⑤!X40+③!X40+⑥!X40+H!X40</f>
        <v>15232</v>
      </c>
      <c r="Y40" s="151">
        <f>①!Y40+②!Y40+④!Y40+⑤!Y40+③!Y40+⑥!Y40+H!Y40</f>
        <v>35000</v>
      </c>
      <c r="Z40" s="117">
        <f>①!Z40+②!Z40+④!Z40+⑤!Z40+③!Z40+⑥!Z40+H!Z40</f>
        <v>35419</v>
      </c>
      <c r="AA40" s="151">
        <f t="shared" si="60"/>
        <v>105000</v>
      </c>
      <c r="AB40" s="117">
        <f t="shared" si="60"/>
        <v>81628</v>
      </c>
      <c r="AC40" s="129">
        <f>①!AC40+②!AC40+④!AC40+⑤!AC40+③!AC40+⑥!AC40+H!AC40</f>
        <v>35000</v>
      </c>
      <c r="AD40" s="117">
        <f>①!AD40+②!AD40+④!AD40+⑤!AD40+③!AD40+⑥!AD40+H!AD40</f>
        <v>7547</v>
      </c>
      <c r="AE40" s="151">
        <f>①!AE40+②!AE40+④!AE40+⑤!AE40+③!AE40+⑥!AE40+H!AE40</f>
        <v>35000</v>
      </c>
      <c r="AF40" s="117">
        <f>①!AF40+②!AF40+④!AF40+⑤!AF40+③!AF40+⑥!AF40+H!AF40</f>
        <v>37052</v>
      </c>
      <c r="AG40" s="151">
        <f>①!AG40+②!AG40+④!AG40+⑤!AG40+③!AG40+⑥!AG40+H!AG40</f>
        <v>35000</v>
      </c>
      <c r="AH40" s="117">
        <f>①!AH40+②!AH40+④!AH40+⑤!AH40+③!AH40+⑥!AH40+H!AH40</f>
        <v>4213</v>
      </c>
      <c r="AI40" s="151">
        <f t="shared" si="61"/>
        <v>105000</v>
      </c>
      <c r="AJ40" s="117">
        <f t="shared" si="61"/>
        <v>48812</v>
      </c>
      <c r="AK40" s="151">
        <f t="shared" si="56"/>
        <v>210000</v>
      </c>
      <c r="AL40" s="117">
        <f t="shared" si="56"/>
        <v>130440</v>
      </c>
      <c r="AM40" s="129">
        <f t="shared" si="57"/>
        <v>460000</v>
      </c>
      <c r="AN40" s="117">
        <f t="shared" si="57"/>
        <v>364153</v>
      </c>
    </row>
    <row r="41" spans="1:40" ht="20.25" customHeight="1" x14ac:dyDescent="0.15">
      <c r="A41" s="23"/>
      <c r="B41" s="5" t="s">
        <v>43</v>
      </c>
      <c r="C41" s="151">
        <f>①!C41+②!C41+④!C41+⑤!C41+③!C41+⑥!C41+H!C41</f>
        <v>284000</v>
      </c>
      <c r="D41" s="117">
        <f>①!D41+②!D41+④!D41+⑤!D41+③!D41+⑥!D41+H!D41</f>
        <v>145865</v>
      </c>
      <c r="E41" s="151">
        <f>①!E41+②!E41+④!E41+⑤!E41+③!E41+⑥!E41+H!E41</f>
        <v>284000</v>
      </c>
      <c r="F41" s="117">
        <f>①!F41+②!F41+④!F41+⑤!F41+③!F41+⑥!F41+H!F41</f>
        <v>260074</v>
      </c>
      <c r="G41" s="151">
        <f>①!G41+②!G41+④!G41+⑤!G41+③!G41+⑥!G41+H!G41</f>
        <v>284000</v>
      </c>
      <c r="H41" s="117">
        <f>①!H41+②!H41+④!H41+⑤!H41+③!H41+⑥!H41+H!H41</f>
        <v>259640</v>
      </c>
      <c r="I41" s="151">
        <f t="shared" si="58"/>
        <v>852000</v>
      </c>
      <c r="J41" s="117">
        <f t="shared" si="58"/>
        <v>665579</v>
      </c>
      <c r="K41" s="129">
        <f>①!K41+②!K41+④!K41+⑤!K41+③!K41+⑥!K41+H!K41</f>
        <v>284000</v>
      </c>
      <c r="L41" s="117">
        <f>①!L41+②!L41+④!L41+⑤!L41+③!L41+⑥!L41+H!L41</f>
        <v>272200</v>
      </c>
      <c r="M41" s="151">
        <f>①!M41+②!M41+④!M41+⑤!M41+③!M41+⑥!M41+H!M41</f>
        <v>284000</v>
      </c>
      <c r="N41" s="117">
        <f>①!N41+②!N41+④!N41+⑤!N41+③!N41+⑥!N41+H!N41</f>
        <v>291707</v>
      </c>
      <c r="O41" s="151">
        <f>①!O41+②!O41+④!O41+⑤!O41+③!O41+⑥!O41+H!O41</f>
        <v>284000</v>
      </c>
      <c r="P41" s="117">
        <f>①!P41+②!P41+④!P41+⑤!P41+③!P41+⑥!P41+H!P41</f>
        <v>297941</v>
      </c>
      <c r="Q41" s="151">
        <f t="shared" si="59"/>
        <v>852000</v>
      </c>
      <c r="R41" s="117">
        <f t="shared" si="59"/>
        <v>861848</v>
      </c>
      <c r="S41" s="151">
        <f t="shared" si="55"/>
        <v>1704000</v>
      </c>
      <c r="T41" s="117">
        <f t="shared" si="55"/>
        <v>1527427</v>
      </c>
      <c r="U41" s="129">
        <f>①!U41+②!U41+④!U41+⑤!U41+③!U41+⑥!U41+H!U41</f>
        <v>284000</v>
      </c>
      <c r="V41" s="117">
        <f>①!V41+②!V41+④!V41+⑤!V41+③!V41+⑥!V41+H!V41</f>
        <v>177213</v>
      </c>
      <c r="W41" s="151">
        <f>①!W41+②!W41+④!W41+⑤!W41+③!W41+⑥!W41+H!W41</f>
        <v>284000</v>
      </c>
      <c r="X41" s="117">
        <f>①!X41+②!X41+④!X41+⑤!X41+③!X41+⑥!X41+H!X41</f>
        <v>221000</v>
      </c>
      <c r="Y41" s="151">
        <f>①!Y41+②!Y41+④!Y41+⑤!Y41+③!Y41+⑥!Y41+H!Y41</f>
        <v>284000</v>
      </c>
      <c r="Z41" s="117">
        <f>①!Z41+②!Z41+④!Z41+⑤!Z41+③!Z41+⑥!Z41+H!Z41</f>
        <v>267349</v>
      </c>
      <c r="AA41" s="151">
        <f t="shared" si="60"/>
        <v>852000</v>
      </c>
      <c r="AB41" s="117">
        <f t="shared" si="60"/>
        <v>665562</v>
      </c>
      <c r="AC41" s="129">
        <f>①!AC41+②!AC41+④!AC41+⑤!AC41+③!AC41+⑥!AC41+H!AC41</f>
        <v>284000</v>
      </c>
      <c r="AD41" s="117">
        <f>①!AD41+②!AD41+④!AD41+⑤!AD41+③!AD41+⑥!AD41+H!AD41</f>
        <v>209676</v>
      </c>
      <c r="AE41" s="151">
        <f>①!AE41+②!AE41+④!AE41+⑤!AE41+③!AE41+⑥!AE41+H!AE41</f>
        <v>284000</v>
      </c>
      <c r="AF41" s="117">
        <f>①!AF41+②!AF41+④!AF41+⑤!AF41+③!AF41+⑥!AF41+H!AF41</f>
        <v>218536</v>
      </c>
      <c r="AG41" s="151">
        <f>①!AG41+②!AG41+④!AG41+⑤!AG41+③!AG41+⑥!AG41+H!AG41</f>
        <v>284000</v>
      </c>
      <c r="AH41" s="117">
        <f>①!AH41+②!AH41+④!AH41+⑤!AH41+③!AH41+⑥!AH41+H!AH41</f>
        <v>238999</v>
      </c>
      <c r="AI41" s="151">
        <f t="shared" si="61"/>
        <v>852000</v>
      </c>
      <c r="AJ41" s="117">
        <f t="shared" si="61"/>
        <v>667211</v>
      </c>
      <c r="AK41" s="151">
        <f t="shared" si="56"/>
        <v>1704000</v>
      </c>
      <c r="AL41" s="117">
        <f t="shared" si="56"/>
        <v>1332773</v>
      </c>
      <c r="AM41" s="129">
        <f t="shared" si="57"/>
        <v>3408000</v>
      </c>
      <c r="AN41" s="117">
        <f t="shared" si="57"/>
        <v>2860200</v>
      </c>
    </row>
    <row r="42" spans="1:40" ht="20.25" customHeight="1" x14ac:dyDescent="0.15">
      <c r="A42" s="23"/>
      <c r="B42" s="5" t="s">
        <v>44</v>
      </c>
      <c r="C42" s="151">
        <f>①!C42+②!C42+④!C42+⑤!C42+③!C42+⑥!C42+H!C42</f>
        <v>350000</v>
      </c>
      <c r="D42" s="117">
        <f>①!D42+②!D42+④!D42+⑤!D42+③!D42+⑥!D42+H!D42</f>
        <v>0</v>
      </c>
      <c r="E42" s="151">
        <f>①!E42+②!E42+④!E42+⑤!E42+③!E42+⑥!E42+H!E42</f>
        <v>350000</v>
      </c>
      <c r="F42" s="117">
        <f>①!F42+②!F42+④!F42+⑤!F42+③!F42+⑥!F42+H!F42</f>
        <v>1169450</v>
      </c>
      <c r="G42" s="151">
        <f>①!G42+②!G42+④!G42+⑤!G42+③!G42+⑥!G42+H!G42</f>
        <v>350000</v>
      </c>
      <c r="H42" s="117">
        <f>①!H42+②!H42+④!H42+⑤!H42+③!H42+⑥!H42+H!H42</f>
        <v>113900</v>
      </c>
      <c r="I42" s="151">
        <f t="shared" si="58"/>
        <v>1050000</v>
      </c>
      <c r="J42" s="117">
        <f t="shared" si="58"/>
        <v>1283350</v>
      </c>
      <c r="K42" s="129">
        <f>①!K42+②!K42+④!K42+⑤!K42+③!K42+⑥!K42+H!K42</f>
        <v>350000</v>
      </c>
      <c r="L42" s="117">
        <f>①!L42+②!L42+④!L42+⑤!L42+③!L42+⑥!L42+H!L42</f>
        <v>24912</v>
      </c>
      <c r="M42" s="151">
        <f>①!M42+②!M42+④!M42+⑤!M42+③!M42+⑥!M42+H!M42</f>
        <v>350000</v>
      </c>
      <c r="N42" s="117">
        <f>①!N42+②!N42+④!N42+⑤!N42+③!N42+⑥!N42+H!N42</f>
        <v>67800</v>
      </c>
      <c r="O42" s="151">
        <f>①!O42+②!O42+④!O42+⑤!O42+③!O42+⑥!O42+H!O42</f>
        <v>350000</v>
      </c>
      <c r="P42" s="117">
        <f>①!P42+②!P42+④!P42+⑤!P42+③!P42+⑥!P42+H!P42</f>
        <v>0</v>
      </c>
      <c r="Q42" s="151">
        <f t="shared" si="59"/>
        <v>1050000</v>
      </c>
      <c r="R42" s="117">
        <f t="shared" si="59"/>
        <v>92712</v>
      </c>
      <c r="S42" s="151">
        <f t="shared" si="55"/>
        <v>2100000</v>
      </c>
      <c r="T42" s="117">
        <f t="shared" si="55"/>
        <v>1376062</v>
      </c>
      <c r="U42" s="129">
        <f>①!U42+②!U42+④!U42+⑤!U42+③!U42+⑥!U42+H!U42</f>
        <v>350000</v>
      </c>
      <c r="V42" s="117">
        <f>①!V42+②!V42+④!V42+⑤!V42+③!V42+⑥!V42+H!V42</f>
        <v>0</v>
      </c>
      <c r="W42" s="151">
        <f>①!W42+②!W42+④!W42+⑤!W42+③!W42+⑥!W42+H!W42</f>
        <v>350000</v>
      </c>
      <c r="X42" s="117">
        <f>①!X42+②!X42+④!X42+⑤!X42+③!X42+⑥!X42+H!X42</f>
        <v>3650</v>
      </c>
      <c r="Y42" s="151">
        <f>①!Y42+②!Y42+④!Y42+⑤!Y42+③!Y42+⑥!Y42+H!Y42</f>
        <v>350000</v>
      </c>
      <c r="Z42" s="117">
        <f>①!Z42+②!Z42+④!Z42+⑤!Z42+③!Z42+⑥!Z42+H!Z42</f>
        <v>9900</v>
      </c>
      <c r="AA42" s="151">
        <f t="shared" si="60"/>
        <v>1050000</v>
      </c>
      <c r="AB42" s="117">
        <f t="shared" si="60"/>
        <v>13550</v>
      </c>
      <c r="AC42" s="129">
        <f>①!AC42+②!AC42+④!AC42+⑤!AC42+③!AC42+⑥!AC42+H!AC42</f>
        <v>350000</v>
      </c>
      <c r="AD42" s="117">
        <f>①!AD42+②!AD42+④!AD42+⑤!AD42+③!AD42+⑥!AD42+H!AD42</f>
        <v>3000</v>
      </c>
      <c r="AE42" s="151">
        <f>①!AE42+②!AE42+④!AE42+⑤!AE42+③!AE42+⑥!AE42+H!AE42</f>
        <v>350000</v>
      </c>
      <c r="AF42" s="117">
        <f>①!AF42+②!AF42+④!AF42+⑤!AF42+③!AF42+⑥!AF42+H!AF42</f>
        <v>3900</v>
      </c>
      <c r="AG42" s="151">
        <f>①!AG42+②!AG42+④!AG42+⑤!AG42+③!AG42+⑥!AG42+H!AG42</f>
        <v>350000</v>
      </c>
      <c r="AH42" s="117">
        <f>①!AH42+②!AH42+④!AH42+⑤!AH42+③!AH42+⑥!AH42+H!AH42</f>
        <v>39662</v>
      </c>
      <c r="AI42" s="151">
        <f t="shared" si="61"/>
        <v>1050000</v>
      </c>
      <c r="AJ42" s="117">
        <f t="shared" si="61"/>
        <v>46562</v>
      </c>
      <c r="AK42" s="151">
        <f t="shared" si="56"/>
        <v>2100000</v>
      </c>
      <c r="AL42" s="117">
        <f t="shared" si="56"/>
        <v>60112</v>
      </c>
      <c r="AM42" s="129">
        <f t="shared" si="57"/>
        <v>4200000</v>
      </c>
      <c r="AN42" s="117">
        <f t="shared" si="57"/>
        <v>1436174</v>
      </c>
    </row>
    <row r="43" spans="1:40" ht="20.25" customHeight="1" x14ac:dyDescent="0.15">
      <c r="A43" s="23"/>
      <c r="B43" s="5" t="s">
        <v>45</v>
      </c>
      <c r="C43" s="151">
        <f>①!C43+②!C43+④!C43+⑤!C43+③!C43+⑥!C43+H!C43</f>
        <v>1586000</v>
      </c>
      <c r="D43" s="117">
        <f>①!D43+②!D43+④!D43+⑤!D43+③!D43+⑥!D43+H!D43</f>
        <v>717104</v>
      </c>
      <c r="E43" s="151">
        <f>①!E43+②!E43+④!E43+⑤!E43+③!E43+⑥!E43+H!E43</f>
        <v>1586000</v>
      </c>
      <c r="F43" s="117">
        <f>①!F43+②!F43+④!F43+⑤!F43+③!F43+⑥!F43+H!F43</f>
        <v>1088396</v>
      </c>
      <c r="G43" s="151">
        <f>①!G43+②!G43+④!G43+⑤!G43+③!G43+⑥!G43+H!G43</f>
        <v>1666000</v>
      </c>
      <c r="H43" s="117">
        <f>①!H43+②!H43+④!H43+⑤!H43+③!H43+⑥!H43+H!H43</f>
        <v>1386174</v>
      </c>
      <c r="I43" s="151">
        <f t="shared" si="58"/>
        <v>4838000</v>
      </c>
      <c r="J43" s="117">
        <f t="shared" si="58"/>
        <v>3191674</v>
      </c>
      <c r="K43" s="129">
        <f>①!K43+②!K43+④!K43+⑤!K43+③!K43+⑥!K43+H!K43</f>
        <v>1666000</v>
      </c>
      <c r="L43" s="117">
        <f>①!L43+②!L43+④!L43+⑤!L43+③!L43+⑥!L43+H!L43</f>
        <v>847859</v>
      </c>
      <c r="M43" s="151">
        <f>①!M43+②!M43+④!M43+⑤!M43+③!M43+⑥!M43+H!M43</f>
        <v>1666000</v>
      </c>
      <c r="N43" s="117">
        <f>①!N43+②!N43+④!N43+⑤!N43+③!N43+⑥!N43+H!N43</f>
        <v>1128323</v>
      </c>
      <c r="O43" s="151">
        <f>①!O43+②!O43+④!O43+⑤!O43+③!O43+⑥!O43+H!O43</f>
        <v>1666000</v>
      </c>
      <c r="P43" s="117">
        <f>①!P43+②!P43+④!P43+⑤!P43+③!P43+⑥!P43+H!P43</f>
        <v>1050376</v>
      </c>
      <c r="Q43" s="151">
        <f t="shared" si="59"/>
        <v>4998000</v>
      </c>
      <c r="R43" s="117">
        <f t="shared" si="59"/>
        <v>3026558</v>
      </c>
      <c r="S43" s="151">
        <f t="shared" si="55"/>
        <v>9836000</v>
      </c>
      <c r="T43" s="117">
        <f t="shared" si="55"/>
        <v>6218232</v>
      </c>
      <c r="U43" s="129">
        <f>①!U43+②!U43+④!U43+⑤!U43+③!U43+⑥!U43+H!U43</f>
        <v>1666000</v>
      </c>
      <c r="V43" s="117">
        <f>①!V43+②!V43+④!V43+⑤!V43+③!V43+⑥!V43+H!V43</f>
        <v>2366897</v>
      </c>
      <c r="W43" s="151">
        <f>①!W43+②!W43+④!W43+⑤!W43+③!W43+⑥!W43+H!W43</f>
        <v>1666000</v>
      </c>
      <c r="X43" s="117">
        <f>①!X43+②!X43+④!X43+⑤!X43+③!X43+⑥!X43+H!X43</f>
        <v>954954</v>
      </c>
      <c r="Y43" s="151">
        <f>①!Y43+②!Y43+④!Y43+⑤!Y43+③!Y43+⑥!Y43+H!Y43</f>
        <v>1706000</v>
      </c>
      <c r="Z43" s="117">
        <f>①!Z43+②!Z43+④!Z43+⑤!Z43+③!Z43+⑥!Z43+H!Z43</f>
        <v>2660778</v>
      </c>
      <c r="AA43" s="151">
        <f t="shared" si="60"/>
        <v>5038000</v>
      </c>
      <c r="AB43" s="117">
        <f t="shared" si="60"/>
        <v>5982629</v>
      </c>
      <c r="AC43" s="129">
        <f>①!AC43+②!AC43+④!AC43+⑤!AC43+③!AC43+⑥!AC43+H!AC43</f>
        <v>1706000</v>
      </c>
      <c r="AD43" s="117">
        <f>①!AD43+②!AD43+④!AD43+⑤!AD43+③!AD43+⑥!AD43+H!AD43</f>
        <v>761889</v>
      </c>
      <c r="AE43" s="151">
        <f>①!AE43+②!AE43+④!AE43+⑤!AE43+③!AE43+⑥!AE43+H!AE43</f>
        <v>1706000</v>
      </c>
      <c r="AF43" s="117">
        <f>①!AF43+②!AF43+④!AF43+⑤!AF43+③!AF43+⑥!AF43+H!AF43</f>
        <v>688439</v>
      </c>
      <c r="AG43" s="151">
        <f>①!AG43+②!AG43+④!AG43+⑤!AG43+③!AG43+⑥!AG43+H!AG43</f>
        <v>1746000</v>
      </c>
      <c r="AH43" s="117">
        <f>①!AH43+②!AH43+④!AH43+⑤!AH43+③!AH43+⑥!AH43+H!AH43</f>
        <v>802426</v>
      </c>
      <c r="AI43" s="151">
        <f t="shared" si="61"/>
        <v>5158000</v>
      </c>
      <c r="AJ43" s="117">
        <f t="shared" si="61"/>
        <v>2252754</v>
      </c>
      <c r="AK43" s="151">
        <f t="shared" si="56"/>
        <v>10196000</v>
      </c>
      <c r="AL43" s="117">
        <f t="shared" si="56"/>
        <v>8235383</v>
      </c>
      <c r="AM43" s="129">
        <f t="shared" si="57"/>
        <v>20032000</v>
      </c>
      <c r="AN43" s="117">
        <f t="shared" si="57"/>
        <v>14453615</v>
      </c>
    </row>
    <row r="44" spans="1:40" ht="20.25" customHeight="1" x14ac:dyDescent="0.15">
      <c r="A44" s="23"/>
      <c r="B44" s="5" t="s">
        <v>46</v>
      </c>
      <c r="C44" s="151">
        <f>①!C44+②!C44+④!C44+⑤!C44+③!C44+⑥!C44+H!C44</f>
        <v>474000</v>
      </c>
      <c r="D44" s="117">
        <f>①!D44+②!D44+④!D44+⑤!D44+③!D44+⑥!D44+H!D44</f>
        <v>373699</v>
      </c>
      <c r="E44" s="151">
        <f>①!E44+②!E44+④!E44+⑤!E44+③!E44+⑥!E44+H!E44</f>
        <v>474000</v>
      </c>
      <c r="F44" s="117">
        <f>①!F44+②!F44+④!F44+⑤!F44+③!F44+⑥!F44+H!F44</f>
        <v>514605</v>
      </c>
      <c r="G44" s="151">
        <f>①!G44+②!G44+④!G44+⑤!G44+③!G44+⑥!G44+H!G44</f>
        <v>488000</v>
      </c>
      <c r="H44" s="117">
        <f>①!H44+②!H44+④!H44+⑤!H44+③!H44+⑥!H44+H!H44</f>
        <v>464356</v>
      </c>
      <c r="I44" s="151">
        <f t="shared" si="58"/>
        <v>1436000</v>
      </c>
      <c r="J44" s="117">
        <f t="shared" si="58"/>
        <v>1352660</v>
      </c>
      <c r="K44" s="129">
        <f>①!K44+②!K44+④!K44+⑤!K44+③!K44+⑥!K44+H!K44</f>
        <v>488000</v>
      </c>
      <c r="L44" s="117">
        <f>①!L44+②!L44+④!L44+⑤!L44+③!L44+⑥!L44+H!L44</f>
        <v>611730</v>
      </c>
      <c r="M44" s="151">
        <f>①!M44+②!M44+④!M44+⑤!M44+③!M44+⑥!M44+H!M44</f>
        <v>488000</v>
      </c>
      <c r="N44" s="117">
        <f>①!N44+②!N44+④!N44+⑤!N44+③!N44+⑥!N44+H!N44</f>
        <v>394856</v>
      </c>
      <c r="O44" s="151">
        <f>①!O44+②!O44+④!O44+⑤!O44+③!O44+⑥!O44+H!O44</f>
        <v>491500</v>
      </c>
      <c r="P44" s="117">
        <f>①!P44+②!P44+④!P44+⑤!P44+③!P44+⑥!P44+H!P44</f>
        <v>416652</v>
      </c>
      <c r="Q44" s="151">
        <f t="shared" si="59"/>
        <v>1467500</v>
      </c>
      <c r="R44" s="117">
        <f t="shared" si="59"/>
        <v>1423238</v>
      </c>
      <c r="S44" s="151">
        <f t="shared" si="55"/>
        <v>2903500</v>
      </c>
      <c r="T44" s="117">
        <f t="shared" si="55"/>
        <v>2775898</v>
      </c>
      <c r="U44" s="129">
        <f>①!U44+②!U44+④!U44+⑤!U44+③!U44+⑥!U44+H!U44</f>
        <v>491500</v>
      </c>
      <c r="V44" s="117">
        <f>①!V44+②!V44+④!V44+⑤!V44+③!V44+⑥!V44+H!V44</f>
        <v>365962</v>
      </c>
      <c r="W44" s="151">
        <f>①!W44+②!W44+④!W44+⑤!W44+③!W44+⑥!W44+H!W44</f>
        <v>491500</v>
      </c>
      <c r="X44" s="117">
        <f>①!X44+②!X44+④!X44+⑤!X44+③!X44+⑥!X44+H!X44</f>
        <v>386300</v>
      </c>
      <c r="Y44" s="151">
        <f>①!Y44+②!Y44+④!Y44+⑤!Y44+③!Y44+⑥!Y44+H!Y44</f>
        <v>498500</v>
      </c>
      <c r="Z44" s="117">
        <f>①!Z44+②!Z44+④!Z44+⑤!Z44+③!Z44+⑥!Z44+H!Z44</f>
        <v>489070</v>
      </c>
      <c r="AA44" s="151">
        <f t="shared" si="60"/>
        <v>1481500</v>
      </c>
      <c r="AB44" s="117">
        <f t="shared" si="60"/>
        <v>1241332</v>
      </c>
      <c r="AC44" s="129">
        <f>①!AC44+②!AC44+④!AC44+⑤!AC44+③!AC44+⑥!AC44+H!AC44</f>
        <v>498500</v>
      </c>
      <c r="AD44" s="117">
        <f>①!AD44+②!AD44+④!AD44+⑤!AD44+③!AD44+⑥!AD44+H!AD44</f>
        <v>378624</v>
      </c>
      <c r="AE44" s="151">
        <f>①!AE44+②!AE44+④!AE44+⑤!AE44+③!AE44+⑥!AE44+H!AE44</f>
        <v>498500</v>
      </c>
      <c r="AF44" s="117">
        <f>①!AF44+②!AF44+④!AF44+⑤!AF44+③!AF44+⑥!AF44+H!AF44</f>
        <v>404276</v>
      </c>
      <c r="AG44" s="151">
        <f>①!AG44+②!AG44+④!AG44+⑤!AG44+③!AG44+⑥!AG44+H!AG44</f>
        <v>505500</v>
      </c>
      <c r="AH44" s="117">
        <f>①!AH44+②!AH44+④!AH44+⑤!AH44+③!AH44+⑥!AH44+H!AH44</f>
        <v>375049</v>
      </c>
      <c r="AI44" s="151">
        <f t="shared" si="61"/>
        <v>1502500</v>
      </c>
      <c r="AJ44" s="117">
        <f t="shared" si="61"/>
        <v>1157949</v>
      </c>
      <c r="AK44" s="151">
        <f t="shared" si="56"/>
        <v>2984000</v>
      </c>
      <c r="AL44" s="117">
        <f t="shared" si="56"/>
        <v>2399281</v>
      </c>
      <c r="AM44" s="129">
        <f t="shared" si="57"/>
        <v>5887500</v>
      </c>
      <c r="AN44" s="117">
        <f t="shared" si="57"/>
        <v>5175179</v>
      </c>
    </row>
    <row r="45" spans="1:40" ht="20.25" customHeight="1" x14ac:dyDescent="0.15">
      <c r="A45" s="23"/>
      <c r="B45" s="5" t="s">
        <v>47</v>
      </c>
      <c r="C45" s="151">
        <f>①!C45+②!C45+④!C45+⑤!C45+③!C45+⑥!C45+H!C45</f>
        <v>167000</v>
      </c>
      <c r="D45" s="117">
        <f>①!D45+②!D45+④!D45+⑤!D45+③!D45+⑥!D45+H!D45</f>
        <v>159648</v>
      </c>
      <c r="E45" s="151">
        <f>①!E45+②!E45+④!E45+⑤!E45+③!E45+⑥!E45+H!E45</f>
        <v>167000</v>
      </c>
      <c r="F45" s="117">
        <f>①!F45+②!F45+④!F45+⑤!F45+③!F45+⑥!F45+H!F45</f>
        <v>185264</v>
      </c>
      <c r="G45" s="151">
        <f>①!G45+②!G45+④!G45+⑤!G45+③!G45+⑥!G45+H!G45</f>
        <v>187000</v>
      </c>
      <c r="H45" s="117">
        <f>①!H45+②!H45+④!H45+⑤!H45+③!H45+⑥!H45+H!H45</f>
        <v>183857</v>
      </c>
      <c r="I45" s="151">
        <f t="shared" si="58"/>
        <v>521000</v>
      </c>
      <c r="J45" s="117">
        <f t="shared" si="58"/>
        <v>528769</v>
      </c>
      <c r="K45" s="129">
        <f>①!K45+②!K45+④!K45+⑤!K45+③!K45+⑥!K45+H!K45</f>
        <v>187000</v>
      </c>
      <c r="L45" s="117">
        <f>①!L45+②!L45+④!L45+⑤!L45+③!L45+⑥!L45+H!L45</f>
        <v>155371</v>
      </c>
      <c r="M45" s="151">
        <f>①!M45+②!M45+④!M45+⑤!M45+③!M45+⑥!M45+H!M45</f>
        <v>187000</v>
      </c>
      <c r="N45" s="117">
        <f>①!N45+②!N45+④!N45+⑤!N45+③!N45+⑥!N45+H!N45</f>
        <v>124249</v>
      </c>
      <c r="O45" s="151">
        <f>①!O45+②!O45+④!O45+⑤!O45+③!O45+⑥!O45+H!O45</f>
        <v>187000</v>
      </c>
      <c r="P45" s="117">
        <f>①!P45+②!P45+④!P45+⑤!P45+③!P45+⑥!P45+H!P45</f>
        <v>127901</v>
      </c>
      <c r="Q45" s="151">
        <f t="shared" si="59"/>
        <v>561000</v>
      </c>
      <c r="R45" s="117">
        <f t="shared" si="59"/>
        <v>407521</v>
      </c>
      <c r="S45" s="151">
        <f t="shared" si="55"/>
        <v>1082000</v>
      </c>
      <c r="T45" s="117">
        <f t="shared" si="55"/>
        <v>936290</v>
      </c>
      <c r="U45" s="129">
        <f>①!U45+②!U45+④!U45+⑤!U45+③!U45+⑥!U45+H!U45</f>
        <v>187000</v>
      </c>
      <c r="V45" s="117">
        <f>①!V45+②!V45+④!V45+⑤!V45+③!V45+⑥!V45+H!V45</f>
        <v>152827</v>
      </c>
      <c r="W45" s="151">
        <f>①!W45+②!W45+④!W45+⑤!W45+③!W45+⑥!W45+H!W45</f>
        <v>187000</v>
      </c>
      <c r="X45" s="117">
        <f>①!X45+②!X45+④!X45+⑤!X45+③!X45+⑥!X45+H!X45</f>
        <v>183436</v>
      </c>
      <c r="Y45" s="151">
        <f>①!Y45+②!Y45+④!Y45+⑤!Y45+③!Y45+⑥!Y45+H!Y45</f>
        <v>187000</v>
      </c>
      <c r="Z45" s="117">
        <f>①!Z45+②!Z45+④!Z45+⑤!Z45+③!Z45+⑥!Z45+H!Z45</f>
        <v>185172</v>
      </c>
      <c r="AA45" s="151">
        <f t="shared" si="60"/>
        <v>561000</v>
      </c>
      <c r="AB45" s="117">
        <f t="shared" si="60"/>
        <v>521435</v>
      </c>
      <c r="AC45" s="129">
        <f>①!AC45+②!AC45+④!AC45+⑤!AC45+③!AC45+⑥!AC45+H!AC45</f>
        <v>187000</v>
      </c>
      <c r="AD45" s="117">
        <f>①!AD45+②!AD45+④!AD45+⑤!AD45+③!AD45+⑥!AD45+H!AD45</f>
        <v>225770</v>
      </c>
      <c r="AE45" s="151">
        <f>①!AE45+②!AE45+④!AE45+⑤!AE45+③!AE45+⑥!AE45+H!AE45</f>
        <v>187000</v>
      </c>
      <c r="AF45" s="117">
        <f>①!AF45+②!AF45+④!AF45+⑤!AF45+③!AF45+⑥!AF45+H!AF45</f>
        <v>97588</v>
      </c>
      <c r="AG45" s="151">
        <f>①!AG45+②!AG45+④!AG45+⑤!AG45+③!AG45+⑥!AG45+H!AG45</f>
        <v>187000</v>
      </c>
      <c r="AH45" s="117">
        <f>①!AH45+②!AH45+④!AH45+⑤!AH45+③!AH45+⑥!AH45+H!AH45</f>
        <v>140350</v>
      </c>
      <c r="AI45" s="151">
        <f t="shared" si="61"/>
        <v>561000</v>
      </c>
      <c r="AJ45" s="117">
        <f t="shared" si="61"/>
        <v>463708</v>
      </c>
      <c r="AK45" s="151">
        <f t="shared" si="56"/>
        <v>1122000</v>
      </c>
      <c r="AL45" s="117">
        <f t="shared" si="56"/>
        <v>985143</v>
      </c>
      <c r="AM45" s="129">
        <f t="shared" si="57"/>
        <v>2204000</v>
      </c>
      <c r="AN45" s="117">
        <f t="shared" si="57"/>
        <v>1921433</v>
      </c>
    </row>
    <row r="46" spans="1:40" ht="20.25" customHeight="1" x14ac:dyDescent="0.15">
      <c r="A46" s="23"/>
      <c r="B46" s="5" t="s">
        <v>48</v>
      </c>
      <c r="C46" s="151">
        <f>①!C46+②!C46+④!C46+⑤!C46+③!C46+⑥!C46+H!C46</f>
        <v>4249000</v>
      </c>
      <c r="D46" s="117">
        <f>①!D46+②!D46+④!D46+⑤!D46+③!D46+⑥!D46+H!D46</f>
        <v>5831542</v>
      </c>
      <c r="E46" s="151">
        <f>①!E46+②!E46+④!E46+⑤!E46+③!E46+⑥!E46+H!E46</f>
        <v>4249000</v>
      </c>
      <c r="F46" s="117">
        <f>①!F46+②!F46+④!F46+⑤!F46+③!F46+⑥!F46+H!F46</f>
        <v>4062525</v>
      </c>
      <c r="G46" s="151">
        <f>①!G46+②!G46+④!G46+⑤!G46+③!G46+⑥!G46+H!G46</f>
        <v>4249000</v>
      </c>
      <c r="H46" s="117">
        <f>①!H46+②!H46+④!H46+⑤!H46+③!H46+⑥!H46+H!H46</f>
        <v>7077709</v>
      </c>
      <c r="I46" s="151">
        <f t="shared" si="58"/>
        <v>12747000</v>
      </c>
      <c r="J46" s="117">
        <f t="shared" si="58"/>
        <v>16971776</v>
      </c>
      <c r="K46" s="129">
        <f>①!K46+②!K46+④!K46+⑤!K46+③!K46+⑥!K46+H!K46</f>
        <v>4249000</v>
      </c>
      <c r="L46" s="117">
        <f>①!L46+②!L46+④!L46+⑤!L46+③!L46+⑥!L46+H!L46</f>
        <v>4368041</v>
      </c>
      <c r="M46" s="151">
        <f>①!M46+②!M46+④!M46+⑤!M46+③!M46+⑥!M46+H!M46</f>
        <v>4249000</v>
      </c>
      <c r="N46" s="117">
        <f>①!N46+②!N46+④!N46+⑤!N46+③!N46+⑥!N46+H!N46</f>
        <v>4609673</v>
      </c>
      <c r="O46" s="151">
        <f>①!O46+②!O46+④!O46+⑤!O46+③!O46+⑥!O46+H!O46</f>
        <v>4249000</v>
      </c>
      <c r="P46" s="117">
        <f>①!P46+②!P46+④!P46+⑤!P46+③!P46+⑥!P46+H!P46</f>
        <v>6989842</v>
      </c>
      <c r="Q46" s="151">
        <f t="shared" si="59"/>
        <v>12747000</v>
      </c>
      <c r="R46" s="117">
        <f t="shared" si="59"/>
        <v>15967556</v>
      </c>
      <c r="S46" s="151">
        <f t="shared" si="55"/>
        <v>25494000</v>
      </c>
      <c r="T46" s="117">
        <f t="shared" si="55"/>
        <v>32939332</v>
      </c>
      <c r="U46" s="129">
        <f>①!U46+②!U46+④!U46+⑤!U46+③!U46+⑥!U46+H!U46</f>
        <v>4249000</v>
      </c>
      <c r="V46" s="117">
        <f>①!V46+②!V46+④!V46+⑤!V46+③!V46+⑥!V46+H!V46</f>
        <v>4166564</v>
      </c>
      <c r="W46" s="151">
        <f>①!W46+②!W46+④!W46+⑤!W46+③!W46+⑥!W46+H!W46</f>
        <v>4249000</v>
      </c>
      <c r="X46" s="117">
        <f>①!X46+②!X46+④!X46+⑤!X46+③!X46+⑥!X46+H!X46</f>
        <v>4044247</v>
      </c>
      <c r="Y46" s="151">
        <f>①!Y46+②!Y46+④!Y46+⑤!Y46+③!Y46+⑥!Y46+H!Y46</f>
        <v>4249000</v>
      </c>
      <c r="Z46" s="117">
        <f>①!Z46+②!Z46+④!Z46+⑤!Z46+③!Z46+⑥!Z46+H!Z46</f>
        <v>4514761</v>
      </c>
      <c r="AA46" s="151">
        <f t="shared" si="60"/>
        <v>12747000</v>
      </c>
      <c r="AB46" s="117">
        <f t="shared" si="60"/>
        <v>12725572</v>
      </c>
      <c r="AC46" s="129">
        <f>①!AC46+②!AC46+④!AC46+⑤!AC46+③!AC46+⑥!AC46+H!AC46</f>
        <v>4249000</v>
      </c>
      <c r="AD46" s="117">
        <f>①!AD46+②!AD46+④!AD46+⑤!AD46+③!AD46+⑥!AD46+H!AD46</f>
        <v>6544268</v>
      </c>
      <c r="AE46" s="151">
        <f>①!AE46+②!AE46+④!AE46+⑤!AE46+③!AE46+⑥!AE46+H!AE46</f>
        <v>4249000</v>
      </c>
      <c r="AF46" s="117">
        <f>①!AF46+②!AF46+④!AF46+⑤!AF46+③!AF46+⑥!AF46+H!AF46</f>
        <v>6411701</v>
      </c>
      <c r="AG46" s="151">
        <f>①!AG46+②!AG46+④!AG46+⑤!AG46+③!AG46+⑥!AG46+H!AG46</f>
        <v>4249000</v>
      </c>
      <c r="AH46" s="117">
        <f>①!AH46+②!AH46+④!AH46+⑤!AH46+③!AH46+⑥!AH46+H!AH46</f>
        <v>4956392</v>
      </c>
      <c r="AI46" s="151">
        <f t="shared" si="61"/>
        <v>12747000</v>
      </c>
      <c r="AJ46" s="117">
        <f t="shared" si="61"/>
        <v>17912361</v>
      </c>
      <c r="AK46" s="151">
        <f t="shared" si="56"/>
        <v>25494000</v>
      </c>
      <c r="AL46" s="117">
        <f t="shared" si="56"/>
        <v>30637933</v>
      </c>
      <c r="AM46" s="129">
        <f t="shared" si="57"/>
        <v>50988000</v>
      </c>
      <c r="AN46" s="117">
        <f t="shared" si="57"/>
        <v>63577265</v>
      </c>
    </row>
    <row r="47" spans="1:40" ht="20.25" customHeight="1" x14ac:dyDescent="0.15">
      <c r="A47" s="23"/>
      <c r="B47" s="5" t="s">
        <v>49</v>
      </c>
      <c r="C47" s="151">
        <f>①!C47+②!C47+④!C47+⑤!C47+③!C47+⑥!C47+H!C47</f>
        <v>15000</v>
      </c>
      <c r="D47" s="117">
        <f>①!D47+②!D47+④!D47+⑤!D47+③!D47+⑥!D47+H!D47</f>
        <v>6364</v>
      </c>
      <c r="E47" s="151">
        <f>①!E47+②!E47+④!E47+⑤!E47+③!E47+⑥!E47+H!E47</f>
        <v>15000</v>
      </c>
      <c r="F47" s="117">
        <f>①!F47+②!F47+④!F47+⑤!F47+③!F47+⑥!F47+H!F47</f>
        <v>14546</v>
      </c>
      <c r="G47" s="151">
        <f>①!G47+②!G47+④!G47+⑤!G47+③!G47+⑥!G47+H!G47</f>
        <v>15000</v>
      </c>
      <c r="H47" s="117">
        <f>①!H47+②!H47+④!H47+⑤!H47+③!H47+⑥!H47+H!H47</f>
        <v>13638</v>
      </c>
      <c r="I47" s="151">
        <f t="shared" si="58"/>
        <v>45000</v>
      </c>
      <c r="J47" s="117">
        <f t="shared" si="58"/>
        <v>34548</v>
      </c>
      <c r="K47" s="129">
        <f>①!K47+②!K47+④!K47+⑤!K47+③!K47+⑥!K47+H!K47</f>
        <v>15000</v>
      </c>
      <c r="L47" s="117">
        <f>①!L47+②!L47+④!L47+⑤!L47+③!L47+⑥!L47+H!L47</f>
        <v>54546</v>
      </c>
      <c r="M47" s="151">
        <f>①!M47+②!M47+④!M47+⑤!M47+③!M47+⑥!M47+H!M47</f>
        <v>15000</v>
      </c>
      <c r="N47" s="117">
        <f>①!N47+②!N47+④!N47+⑤!N47+③!N47+⑥!N47+H!N47</f>
        <v>36364</v>
      </c>
      <c r="O47" s="151">
        <f>①!O47+②!O47+④!O47+⑤!O47+③!O47+⑥!O47+H!O47</f>
        <v>15000</v>
      </c>
      <c r="P47" s="117">
        <f>①!P47+②!P47+④!P47+⑤!P47+③!P47+⑥!P47+H!P47</f>
        <v>8182</v>
      </c>
      <c r="Q47" s="151">
        <f t="shared" si="59"/>
        <v>45000</v>
      </c>
      <c r="R47" s="117">
        <f t="shared" si="59"/>
        <v>99092</v>
      </c>
      <c r="S47" s="151">
        <f t="shared" si="55"/>
        <v>90000</v>
      </c>
      <c r="T47" s="117">
        <f t="shared" si="55"/>
        <v>133640</v>
      </c>
      <c r="U47" s="129">
        <f>①!U47+②!U47+④!U47+⑤!U47+③!U47+⑥!U47+H!U47</f>
        <v>15000</v>
      </c>
      <c r="V47" s="117">
        <f>①!V47+②!V47+④!V47+⑤!V47+③!V47+⑥!V47+H!V47</f>
        <v>0</v>
      </c>
      <c r="W47" s="151">
        <f>①!W47+②!W47+④!W47+⑤!W47+③!W47+⑥!W47+H!W47</f>
        <v>15000</v>
      </c>
      <c r="X47" s="117">
        <f>①!X47+②!X47+④!X47+⑤!X47+③!X47+⑥!X47+H!X47</f>
        <v>2728</v>
      </c>
      <c r="Y47" s="151">
        <f>①!Y47+②!Y47+④!Y47+⑤!Y47+③!Y47+⑥!Y47+H!Y47</f>
        <v>15000</v>
      </c>
      <c r="Z47" s="117">
        <f>①!Z47+②!Z47+④!Z47+⑤!Z47+③!Z47+⑥!Z47+H!Z47</f>
        <v>30000</v>
      </c>
      <c r="AA47" s="151">
        <f t="shared" si="60"/>
        <v>45000</v>
      </c>
      <c r="AB47" s="117">
        <f t="shared" si="60"/>
        <v>32728</v>
      </c>
      <c r="AC47" s="129">
        <f>①!AC47+②!AC47+④!AC47+⑤!AC47+③!AC47+⑥!AC47+H!AC47</f>
        <v>15000</v>
      </c>
      <c r="AD47" s="117">
        <f>①!AD47+②!AD47+④!AD47+⑤!AD47+③!AD47+⑥!AD47+H!AD47</f>
        <v>0</v>
      </c>
      <c r="AE47" s="151">
        <f>①!AE47+②!AE47+④!AE47+⑤!AE47+③!AE47+⑥!AE47+H!AE47</f>
        <v>15000</v>
      </c>
      <c r="AF47" s="117">
        <f>①!AF47+②!AF47+④!AF47+⑤!AF47+③!AF47+⑥!AF47+H!AF47</f>
        <v>2882</v>
      </c>
      <c r="AG47" s="151">
        <f>①!AG47+②!AG47+④!AG47+⑤!AG47+③!AG47+⑥!AG47+H!AG47</f>
        <v>15000</v>
      </c>
      <c r="AH47" s="117">
        <f>①!AH47+②!AH47+④!AH47+⑤!AH47+③!AH47+⑥!AH47+H!AH47</f>
        <v>41365</v>
      </c>
      <c r="AI47" s="151">
        <f t="shared" si="61"/>
        <v>45000</v>
      </c>
      <c r="AJ47" s="117">
        <f t="shared" si="61"/>
        <v>44247</v>
      </c>
      <c r="AK47" s="151">
        <f t="shared" si="56"/>
        <v>90000</v>
      </c>
      <c r="AL47" s="117">
        <f t="shared" si="56"/>
        <v>76975</v>
      </c>
      <c r="AM47" s="129">
        <f t="shared" si="57"/>
        <v>180000</v>
      </c>
      <c r="AN47" s="117">
        <f t="shared" si="57"/>
        <v>210615</v>
      </c>
    </row>
    <row r="48" spans="1:40" ht="20.25" customHeight="1" x14ac:dyDescent="0.15">
      <c r="A48" s="23"/>
      <c r="B48" s="5" t="s">
        <v>50</v>
      </c>
      <c r="C48" s="151">
        <f>①!C48+②!C48+④!C48+⑤!C48+③!C48+⑥!C48+H!C48</f>
        <v>38000</v>
      </c>
      <c r="D48" s="117">
        <f>①!D48+②!D48+④!D48+⑤!D48+③!D48+⑥!D48+H!D48</f>
        <v>48796</v>
      </c>
      <c r="E48" s="151">
        <f>①!E48+②!E48+④!E48+⑤!E48+③!E48+⑥!E48+H!E48</f>
        <v>38000</v>
      </c>
      <c r="F48" s="117">
        <f>①!F48+②!F48+④!F48+⑤!F48+③!F48+⑥!F48+H!F48</f>
        <v>55506</v>
      </c>
      <c r="G48" s="151">
        <f>①!G48+②!G48+④!G48+⑤!G48+③!G48+⑥!G48+H!G48</f>
        <v>38000</v>
      </c>
      <c r="H48" s="117">
        <f>①!H48+②!H48+④!H48+⑤!H48+③!H48+⑥!H48+H!H48</f>
        <v>62848</v>
      </c>
      <c r="I48" s="151">
        <f t="shared" si="58"/>
        <v>114000</v>
      </c>
      <c r="J48" s="117">
        <f t="shared" si="58"/>
        <v>167150</v>
      </c>
      <c r="K48" s="129">
        <f>①!K48+②!K48+④!K48+⑤!K48+③!K48+⑥!K48+H!K48</f>
        <v>38000</v>
      </c>
      <c r="L48" s="117">
        <f>①!L48+②!L48+④!L48+⑤!L48+③!L48+⑥!L48+H!L48</f>
        <v>60625</v>
      </c>
      <c r="M48" s="151">
        <f>①!M48+②!M48+④!M48+⑤!M48+③!M48+⑥!M48+H!M48</f>
        <v>38000</v>
      </c>
      <c r="N48" s="117">
        <f>①!N48+②!N48+④!N48+⑤!N48+③!N48+⑥!N48+H!N48</f>
        <v>55063</v>
      </c>
      <c r="O48" s="151">
        <f>①!O48+②!O48+④!O48+⑤!O48+③!O48+⑥!O48+H!O48</f>
        <v>38000</v>
      </c>
      <c r="P48" s="117">
        <f>①!P48+②!P48+④!P48+⑤!P48+③!P48+⑥!P48+H!P48</f>
        <v>68654</v>
      </c>
      <c r="Q48" s="151">
        <f t="shared" si="59"/>
        <v>114000</v>
      </c>
      <c r="R48" s="117">
        <f t="shared" si="59"/>
        <v>184342</v>
      </c>
      <c r="S48" s="151">
        <f t="shared" si="55"/>
        <v>228000</v>
      </c>
      <c r="T48" s="117">
        <f t="shared" si="55"/>
        <v>351492</v>
      </c>
      <c r="U48" s="129">
        <f>①!U48+②!U48+④!U48+⑤!U48+③!U48+⑥!U48+H!U48</f>
        <v>38000</v>
      </c>
      <c r="V48" s="117">
        <f>①!V48+②!V48+④!V48+⑤!V48+③!V48+⑥!V48+H!V48</f>
        <v>67505</v>
      </c>
      <c r="W48" s="151">
        <f>①!W48+②!W48+④!W48+⑤!W48+③!W48+⑥!W48+H!W48</f>
        <v>38000</v>
      </c>
      <c r="X48" s="117">
        <f>①!X48+②!X48+④!X48+⑤!X48+③!X48+⑥!X48+H!X48</f>
        <v>47724</v>
      </c>
      <c r="Y48" s="151">
        <f>①!Y48+②!Y48+④!Y48+⑤!Y48+③!Y48+⑥!Y48+H!Y48</f>
        <v>38000</v>
      </c>
      <c r="Z48" s="117">
        <f>①!Z48+②!Z48+④!Z48+⑤!Z48+③!Z48+⑥!Z48+H!Z48</f>
        <v>460648</v>
      </c>
      <c r="AA48" s="151">
        <f t="shared" si="60"/>
        <v>114000</v>
      </c>
      <c r="AB48" s="117">
        <f t="shared" si="60"/>
        <v>575877</v>
      </c>
      <c r="AC48" s="129">
        <f>①!AC48+②!AC48+④!AC48+⑤!AC48+③!AC48+⑥!AC48+H!AC48</f>
        <v>38000</v>
      </c>
      <c r="AD48" s="117">
        <f>①!AD48+②!AD48+④!AD48+⑤!AD48+③!AD48+⑥!AD48+H!AD48</f>
        <v>78517</v>
      </c>
      <c r="AE48" s="151">
        <f>①!AE48+②!AE48+④!AE48+⑤!AE48+③!AE48+⑥!AE48+H!AE48</f>
        <v>38000</v>
      </c>
      <c r="AF48" s="117">
        <f>①!AF48+②!AF48+④!AF48+⑤!AF48+③!AF48+⑥!AF48+H!AF48</f>
        <v>52653</v>
      </c>
      <c r="AG48" s="151">
        <f>①!AG48+②!AG48+④!AG48+⑤!AG48+③!AG48+⑥!AG48+H!AG48</f>
        <v>38000</v>
      </c>
      <c r="AH48" s="117">
        <f>①!AH48+②!AH48+④!AH48+⑤!AH48+③!AH48+⑥!AH48+H!AH48</f>
        <v>45228</v>
      </c>
      <c r="AI48" s="151">
        <f t="shared" si="61"/>
        <v>114000</v>
      </c>
      <c r="AJ48" s="117">
        <f t="shared" si="61"/>
        <v>176398</v>
      </c>
      <c r="AK48" s="151">
        <f t="shared" si="56"/>
        <v>228000</v>
      </c>
      <c r="AL48" s="117">
        <f t="shared" si="56"/>
        <v>752275</v>
      </c>
      <c r="AM48" s="129">
        <f t="shared" si="57"/>
        <v>456000</v>
      </c>
      <c r="AN48" s="117">
        <f t="shared" si="57"/>
        <v>1103767</v>
      </c>
    </row>
    <row r="49" spans="1:40" ht="20.25" customHeight="1" x14ac:dyDescent="0.15">
      <c r="A49" s="23"/>
      <c r="B49" s="5" t="s">
        <v>51</v>
      </c>
      <c r="C49" s="151">
        <f>①!C49+②!C49+④!C49+⑤!C49+③!C49+⑥!C49+H!C49</f>
        <v>4230000</v>
      </c>
      <c r="D49" s="117">
        <f>①!D49+②!D49+④!D49+⑤!D49+③!D49+⑥!D49+H!D49</f>
        <v>4234238</v>
      </c>
      <c r="E49" s="151">
        <f>①!E49+②!E49+④!E49+⑤!E49+③!E49+⑥!E49+H!E49</f>
        <v>4140000</v>
      </c>
      <c r="F49" s="117">
        <f>①!F49+②!F49+④!F49+⑤!F49+③!F49+⑥!F49+H!F49</f>
        <v>4161032</v>
      </c>
      <c r="G49" s="151">
        <f>①!G49+②!G49+④!G49+⑤!G49+③!G49+⑥!G49+H!G49</f>
        <v>4253925</v>
      </c>
      <c r="H49" s="117">
        <f>①!H49+②!H49+④!H49+⑤!H49+③!H49+⑥!H49+H!H49</f>
        <v>4956945</v>
      </c>
      <c r="I49" s="151">
        <f t="shared" si="58"/>
        <v>12623925</v>
      </c>
      <c r="J49" s="117">
        <f t="shared" si="58"/>
        <v>13352215</v>
      </c>
      <c r="K49" s="129">
        <f>①!K49+②!K49+④!K49+⑤!K49+③!K49+⑥!K49+H!K49</f>
        <v>4343925</v>
      </c>
      <c r="L49" s="117">
        <f>①!L49+②!L49+④!L49+⑤!L49+③!L49+⑥!L49+H!L49</f>
        <v>4305952</v>
      </c>
      <c r="M49" s="151">
        <f>①!M49+②!M49+④!M49+⑤!M49+③!M49+⑥!M49+H!M49</f>
        <v>4253925</v>
      </c>
      <c r="N49" s="117">
        <f>①!N49+②!N49+④!N49+⑤!N49+③!N49+⑥!N49+H!N49</f>
        <v>3834980</v>
      </c>
      <c r="O49" s="151">
        <f>①!O49+②!O49+④!O49+⑤!O49+③!O49+⑥!O49+H!O49</f>
        <v>4291899</v>
      </c>
      <c r="P49" s="117">
        <f>①!P49+②!P49+④!P49+⑤!P49+③!P49+⑥!P49+H!P49</f>
        <v>4602553</v>
      </c>
      <c r="Q49" s="151">
        <f t="shared" si="59"/>
        <v>12889749</v>
      </c>
      <c r="R49" s="117">
        <f t="shared" si="59"/>
        <v>12743485</v>
      </c>
      <c r="S49" s="151">
        <f t="shared" si="55"/>
        <v>25513674</v>
      </c>
      <c r="T49" s="117">
        <f t="shared" si="55"/>
        <v>26095700</v>
      </c>
      <c r="U49" s="129">
        <f>①!U49+②!U49+④!U49+⑤!U49+③!U49+⑥!U49+H!U49</f>
        <v>4291899</v>
      </c>
      <c r="V49" s="117">
        <f>①!V49+②!V49+④!V49+⑤!V49+③!V49+⑥!V49+H!V49</f>
        <v>3277492</v>
      </c>
      <c r="W49" s="151">
        <f>①!W49+②!W49+④!W49+⑤!W49+③!W49+⑥!W49+H!W49</f>
        <v>4291899</v>
      </c>
      <c r="X49" s="117">
        <f>①!X49+②!X49+④!X49+⑤!X49+③!X49+⑥!X49+H!X49</f>
        <v>3395806</v>
      </c>
      <c r="Y49" s="151">
        <f>①!Y49+②!Y49+④!Y49+⑤!Y49+③!Y49+⑥!Y49+H!Y49</f>
        <v>4457849</v>
      </c>
      <c r="Z49" s="117">
        <f>①!Z49+②!Z49+④!Z49+⑤!Z49+③!Z49+⑥!Z49+H!Z49</f>
        <v>5045248</v>
      </c>
      <c r="AA49" s="151">
        <f t="shared" si="60"/>
        <v>13041647</v>
      </c>
      <c r="AB49" s="117">
        <f t="shared" si="60"/>
        <v>11718546</v>
      </c>
      <c r="AC49" s="129">
        <f>①!AC49+②!AC49+④!AC49+⑤!AC49+③!AC49+⑥!AC49+H!AC49</f>
        <v>4367849</v>
      </c>
      <c r="AD49" s="117">
        <f>①!AD49+②!AD49+④!AD49+⑤!AD49+③!AD49+⑥!AD49+H!AD49</f>
        <v>3746960</v>
      </c>
      <c r="AE49" s="151">
        <f>①!AE49+②!AE49+④!AE49+⑤!AE49+③!AE49+⑥!AE49+H!AE49</f>
        <v>4367849</v>
      </c>
      <c r="AF49" s="117">
        <f>①!AF49+②!AF49+④!AF49+⑤!AF49+③!AF49+⑥!AF49+H!AF49</f>
        <v>3026375</v>
      </c>
      <c r="AG49" s="151">
        <f>①!AG49+②!AG49+④!AG49+⑤!AG49+③!AG49+⑥!AG49+H!AG49</f>
        <v>4443799</v>
      </c>
      <c r="AH49" s="117">
        <f>①!AH49+②!AH49+④!AH49+⑤!AH49+③!AH49+⑥!AH49+H!AH49</f>
        <v>3800831</v>
      </c>
      <c r="AI49" s="151">
        <f t="shared" si="61"/>
        <v>13179497</v>
      </c>
      <c r="AJ49" s="117">
        <f t="shared" si="61"/>
        <v>10574166</v>
      </c>
      <c r="AK49" s="151">
        <f t="shared" si="56"/>
        <v>26221144</v>
      </c>
      <c r="AL49" s="117">
        <f t="shared" si="56"/>
        <v>22292712</v>
      </c>
      <c r="AM49" s="129">
        <f t="shared" si="57"/>
        <v>51734818</v>
      </c>
      <c r="AN49" s="117">
        <f t="shared" si="57"/>
        <v>48388412</v>
      </c>
    </row>
    <row r="50" spans="1:40" ht="20.25" customHeight="1" x14ac:dyDescent="0.15">
      <c r="A50" s="23"/>
      <c r="B50" s="5" t="s">
        <v>206</v>
      </c>
      <c r="C50" s="151">
        <f>①!C50+②!C50+④!C50+⑤!C50+③!C50+⑥!C50+H!C50</f>
        <v>305000</v>
      </c>
      <c r="D50" s="117">
        <f>①!D50+②!D50+④!D50+⑤!D50+③!D50+⑥!D50+H!D50</f>
        <v>33720</v>
      </c>
      <c r="E50" s="151">
        <f>①!E50+②!E50+④!E50+⑤!E50+③!E50+⑥!E50+H!E50</f>
        <v>305000</v>
      </c>
      <c r="F50" s="117">
        <f>①!F50+②!F50+④!F50+⑤!F50+③!F50+⑥!F50+H!F50</f>
        <v>115973</v>
      </c>
      <c r="G50" s="151">
        <f>①!G50+②!G50+④!G50+⑤!G50+③!G50+⑥!G50+H!G50</f>
        <v>305000</v>
      </c>
      <c r="H50" s="117">
        <f>①!H50+②!H50+④!H50+⑤!H50+③!H50+⑥!H50+H!H50</f>
        <v>271276</v>
      </c>
      <c r="I50" s="151">
        <f t="shared" si="58"/>
        <v>915000</v>
      </c>
      <c r="J50" s="117">
        <f t="shared" si="58"/>
        <v>420969</v>
      </c>
      <c r="K50" s="129">
        <f>①!K50+②!K50+④!K50+⑤!K50+③!K50+⑥!K50+H!K50</f>
        <v>305000</v>
      </c>
      <c r="L50" s="117">
        <f>①!L50+②!L50+④!L50+⑤!L50+③!L50+⑥!L50+H!L50</f>
        <v>47468</v>
      </c>
      <c r="M50" s="151">
        <f>①!M50+②!M50+④!M50+⑤!M50+③!M50+⑥!M50+H!M50</f>
        <v>330000</v>
      </c>
      <c r="N50" s="117">
        <f>①!N50+②!N50+④!N50+⑤!N50+③!N50+⑥!N50+H!N50</f>
        <v>600302</v>
      </c>
      <c r="O50" s="151">
        <f>①!O50+②!O50+④!O50+⑤!O50+③!O50+⑥!O50+H!O50</f>
        <v>305000</v>
      </c>
      <c r="P50" s="117">
        <f>①!P50+②!P50+④!P50+⑤!P50+③!P50+⑥!P50+H!P50</f>
        <v>235711</v>
      </c>
      <c r="Q50" s="151">
        <f t="shared" si="59"/>
        <v>940000</v>
      </c>
      <c r="R50" s="117">
        <f t="shared" si="59"/>
        <v>883481</v>
      </c>
      <c r="S50" s="151">
        <f t="shared" si="55"/>
        <v>1855000</v>
      </c>
      <c r="T50" s="117">
        <f t="shared" si="55"/>
        <v>1304450</v>
      </c>
      <c r="U50" s="129">
        <f>①!U50+②!U50+④!U50+⑤!U50+③!U50+⑥!U50+H!U50</f>
        <v>385000</v>
      </c>
      <c r="V50" s="117">
        <f>①!V50+②!V50+④!V50+⑤!V50+③!V50+⑥!V50+H!V50</f>
        <v>416236</v>
      </c>
      <c r="W50" s="151">
        <f>①!W50+②!W50+④!W50+⑤!W50+③!W50+⑥!W50+H!W50</f>
        <v>305000</v>
      </c>
      <c r="X50" s="117">
        <f>①!X50+②!X50+④!X50+⑤!X50+③!X50+⑥!X50+H!X50</f>
        <v>192685</v>
      </c>
      <c r="Y50" s="151">
        <f>①!Y50+②!Y50+④!Y50+⑤!Y50+③!Y50+⑥!Y50+H!Y50</f>
        <v>305000</v>
      </c>
      <c r="Z50" s="117">
        <f>①!Z50+②!Z50+④!Z50+⑤!Z50+③!Z50+⑥!Z50+H!Z50</f>
        <v>344450</v>
      </c>
      <c r="AA50" s="151">
        <f t="shared" si="60"/>
        <v>995000</v>
      </c>
      <c r="AB50" s="117">
        <f t="shared" si="60"/>
        <v>953371</v>
      </c>
      <c r="AC50" s="129">
        <f>①!AC50+②!AC50+④!AC50+⑤!AC50+③!AC50+⑥!AC50+H!AC50</f>
        <v>305000</v>
      </c>
      <c r="AD50" s="117">
        <f>①!AD50+②!AD50+④!AD50+⑤!AD50+③!AD50+⑥!AD50+H!AD50</f>
        <v>396112</v>
      </c>
      <c r="AE50" s="151">
        <f>①!AE50+②!AE50+④!AE50+⑤!AE50+③!AE50+⑥!AE50+H!AE50</f>
        <v>480000</v>
      </c>
      <c r="AF50" s="117">
        <f>①!AF50+②!AF50+④!AF50+⑤!AF50+③!AF50+⑥!AF50+H!AF50</f>
        <v>547347</v>
      </c>
      <c r="AG50" s="151">
        <f>①!AG50+②!AG50+④!AG50+⑤!AG50+③!AG50+⑥!AG50+H!AG50</f>
        <v>305000</v>
      </c>
      <c r="AH50" s="117">
        <f>①!AH50+②!AH50+④!AH50+⑤!AH50+③!AH50+⑥!AH50+H!AH50</f>
        <v>106819</v>
      </c>
      <c r="AI50" s="151">
        <f t="shared" si="61"/>
        <v>1090000</v>
      </c>
      <c r="AJ50" s="117">
        <f t="shared" si="61"/>
        <v>1050278</v>
      </c>
      <c r="AK50" s="151">
        <f t="shared" si="56"/>
        <v>2085000</v>
      </c>
      <c r="AL50" s="117">
        <f t="shared" si="56"/>
        <v>2003649</v>
      </c>
      <c r="AM50" s="129">
        <f t="shared" si="57"/>
        <v>3940000</v>
      </c>
      <c r="AN50" s="117">
        <f t="shared" si="57"/>
        <v>3308099</v>
      </c>
    </row>
    <row r="51" spans="1:40" ht="20.25" customHeight="1" x14ac:dyDescent="0.15">
      <c r="A51" s="23"/>
      <c r="B51" s="5" t="s">
        <v>191</v>
      </c>
      <c r="C51" s="151">
        <f>①!C51+②!C51+④!C51+⑤!C51+③!C51+⑥!C51+H!C51</f>
        <v>230000</v>
      </c>
      <c r="D51" s="117">
        <f>①!D51+②!D51+④!D51+⑤!D51+③!D51+⑥!D51+H!D51</f>
        <v>884546</v>
      </c>
      <c r="E51" s="151">
        <f>①!E51+②!E51+④!E51+⑤!E51+③!E51+⑥!E51+H!E51</f>
        <v>230000</v>
      </c>
      <c r="F51" s="117">
        <f>①!F51+②!F51+④!F51+⑤!F51+③!F51+⑥!F51+H!F51</f>
        <v>884546</v>
      </c>
      <c r="G51" s="151">
        <f>①!G51+②!G51+④!G51+⑤!G51+③!G51+⑥!G51+H!G51</f>
        <v>230000</v>
      </c>
      <c r="H51" s="117">
        <f>①!H51+②!H51+④!H51+⑤!H51+③!H51+⑥!H51+H!H51</f>
        <v>1484546</v>
      </c>
      <c r="I51" s="151">
        <f t="shared" si="58"/>
        <v>690000</v>
      </c>
      <c r="J51" s="117">
        <f t="shared" si="58"/>
        <v>3253638</v>
      </c>
      <c r="K51" s="129">
        <f>①!K51+②!K51+④!K51+⑤!K51+③!K51+⑥!K51+H!K51</f>
        <v>230000</v>
      </c>
      <c r="L51" s="117">
        <f>①!L51+②!L51+④!L51+⑤!L51+③!L51+⑥!L51+H!L51</f>
        <v>1564546</v>
      </c>
      <c r="M51" s="151">
        <f>①!M51+②!M51+④!M51+⑤!M51+③!M51+⑥!M51+H!M51</f>
        <v>230000</v>
      </c>
      <c r="N51" s="117">
        <f>①!N51+②!N51+④!N51+⑤!N51+③!N51+⑥!N51+H!N51</f>
        <v>1124546</v>
      </c>
      <c r="O51" s="151">
        <f>①!O51+②!O51+④!O51+⑤!O51+③!O51+⑥!O51+H!O51</f>
        <v>230000</v>
      </c>
      <c r="P51" s="117">
        <f>①!P51+②!P51+④!P51+⑤!P51+③!P51+⑥!P51+H!P51</f>
        <v>1084546</v>
      </c>
      <c r="Q51" s="151">
        <f t="shared" si="59"/>
        <v>690000</v>
      </c>
      <c r="R51" s="117">
        <f t="shared" si="59"/>
        <v>3773638</v>
      </c>
      <c r="S51" s="151">
        <f t="shared" si="55"/>
        <v>1380000</v>
      </c>
      <c r="T51" s="117">
        <f t="shared" si="55"/>
        <v>7027276</v>
      </c>
      <c r="U51" s="129">
        <f>①!U51+②!U51+④!U51+⑤!U51+③!U51+⑥!U51+H!U51</f>
        <v>230000</v>
      </c>
      <c r="V51" s="117">
        <f>①!V51+②!V51+④!V51+⑤!V51+③!V51+⑥!V51+H!V51</f>
        <v>1084546</v>
      </c>
      <c r="W51" s="151">
        <f>①!W51+②!W51+④!W51+⑤!W51+③!W51+⑥!W51+H!W51</f>
        <v>230000</v>
      </c>
      <c r="X51" s="117">
        <f>①!X51+②!X51+④!X51+⑤!X51+③!X51+⑥!X51+H!X51</f>
        <v>1084546</v>
      </c>
      <c r="Y51" s="151">
        <f>①!Y51+②!Y51+④!Y51+⑤!Y51+③!Y51+⑥!Y51+H!Y51</f>
        <v>230000</v>
      </c>
      <c r="Z51" s="117">
        <f>①!Z51+②!Z51+④!Z51+⑤!Z51+③!Z51+⑥!Z51+H!Z51</f>
        <v>1084546</v>
      </c>
      <c r="AA51" s="151">
        <f t="shared" si="60"/>
        <v>690000</v>
      </c>
      <c r="AB51" s="117">
        <f t="shared" si="60"/>
        <v>3253638</v>
      </c>
      <c r="AC51" s="129">
        <f>①!AC51+②!AC51+④!AC51+⑤!AC51+③!AC51+⑥!AC51+H!AC51</f>
        <v>230000</v>
      </c>
      <c r="AD51" s="117">
        <f>①!AD51+②!AD51+④!AD51+⑤!AD51+③!AD51+⑥!AD51+H!AD51</f>
        <v>5137557</v>
      </c>
      <c r="AE51" s="151">
        <f>①!AE51+②!AE51+④!AE51+⑤!AE51+③!AE51+⑥!AE51+H!AE51</f>
        <v>230000</v>
      </c>
      <c r="AF51" s="117">
        <f>①!AF51+②!AF51+④!AF51+⑤!AF51+③!AF51+⑥!AF51+H!AF51</f>
        <v>1084546</v>
      </c>
      <c r="AG51" s="151">
        <f>①!AG51+②!AG51+④!AG51+⑤!AG51+③!AG51+⑥!AG51+H!AG51</f>
        <v>230000</v>
      </c>
      <c r="AH51" s="117">
        <f>①!AH51+②!AH51+④!AH51+⑤!AH51+③!AH51+⑥!AH51+H!AH51</f>
        <v>1009546</v>
      </c>
      <c r="AI51" s="151">
        <f t="shared" si="61"/>
        <v>690000</v>
      </c>
      <c r="AJ51" s="117">
        <f t="shared" si="61"/>
        <v>7231649</v>
      </c>
      <c r="AK51" s="151">
        <f t="shared" si="56"/>
        <v>1380000</v>
      </c>
      <c r="AL51" s="117">
        <f t="shared" si="56"/>
        <v>10485287</v>
      </c>
      <c r="AM51" s="129">
        <f t="shared" si="57"/>
        <v>2760000</v>
      </c>
      <c r="AN51" s="117">
        <f t="shared" si="57"/>
        <v>17512563</v>
      </c>
    </row>
    <row r="52" spans="1:40" ht="20.25" customHeight="1" x14ac:dyDescent="0.15">
      <c r="A52" s="23"/>
      <c r="B52" s="5" t="s">
        <v>54</v>
      </c>
      <c r="C52" s="151">
        <f>①!C52+②!C52+④!C52+⑤!C52+③!C52+⑥!C52+H!C52</f>
        <v>51000</v>
      </c>
      <c r="D52" s="117">
        <f>①!D52+②!D52+④!D52+⑤!D52+③!D52+⑥!D52+H!D52</f>
        <v>30000</v>
      </c>
      <c r="E52" s="151">
        <f>①!E52+②!E52+④!E52+⑤!E52+③!E52+⑥!E52+H!E52</f>
        <v>51000</v>
      </c>
      <c r="F52" s="117">
        <f>①!F52+②!F52+④!F52+⑤!F52+③!F52+⑥!F52+H!F52</f>
        <v>54000</v>
      </c>
      <c r="G52" s="151">
        <f>①!G52+②!G52+④!G52+⑤!G52+③!G52+⑥!G52+H!G52</f>
        <v>51000</v>
      </c>
      <c r="H52" s="117">
        <f>①!H52+②!H52+④!H52+⑤!H52+③!H52+⑥!H52+H!H52</f>
        <v>49000</v>
      </c>
      <c r="I52" s="151">
        <f t="shared" si="58"/>
        <v>153000</v>
      </c>
      <c r="J52" s="117">
        <f>D52+F52+H52</f>
        <v>133000</v>
      </c>
      <c r="K52" s="129">
        <f>①!K52+②!K52+④!K52+⑤!K52+③!K52+⑥!K52+H!K52</f>
        <v>51000</v>
      </c>
      <c r="L52" s="117">
        <f>①!L52+②!L52+④!L52+⑤!L52+③!L52+⑥!L52+H!L52</f>
        <v>80000</v>
      </c>
      <c r="M52" s="151">
        <f>①!M52+②!M52+④!M52+⑤!M52+③!M52+⑥!M52+H!M52</f>
        <v>51000</v>
      </c>
      <c r="N52" s="117">
        <f>①!N52+②!N52+④!N52+⑤!N52+③!N52+⑥!N52+H!N52</f>
        <v>30000</v>
      </c>
      <c r="O52" s="151">
        <f>①!O52+②!O52+④!O52+⑤!O52+③!O52+⑥!O52+H!O52</f>
        <v>51000</v>
      </c>
      <c r="P52" s="117">
        <f>①!P52+②!P52+④!P52+⑤!P52+③!P52+⑥!P52+H!P52</f>
        <v>42000</v>
      </c>
      <c r="Q52" s="151">
        <f t="shared" si="59"/>
        <v>153000</v>
      </c>
      <c r="R52" s="117">
        <f t="shared" si="59"/>
        <v>152000</v>
      </c>
      <c r="S52" s="151">
        <f t="shared" si="55"/>
        <v>306000</v>
      </c>
      <c r="T52" s="117">
        <f t="shared" si="55"/>
        <v>285000</v>
      </c>
      <c r="U52" s="129">
        <f>①!U52+②!U52+④!U52+⑤!U52+③!U52+⑥!U52+H!U52</f>
        <v>51000</v>
      </c>
      <c r="V52" s="117">
        <f>①!V52+②!V52+④!V52+⑤!V52+③!V52+⑥!V52+H!V52</f>
        <v>57600</v>
      </c>
      <c r="W52" s="151">
        <f>①!W52+②!W52+④!W52+⑤!W52+③!W52+⑥!W52+H!W52</f>
        <v>51000</v>
      </c>
      <c r="X52" s="117">
        <f>①!X52+②!X52+④!X52+⑤!X52+③!X52+⑥!X52+H!X52</f>
        <v>40000</v>
      </c>
      <c r="Y52" s="151">
        <f>①!Y52+②!Y52+④!Y52+⑤!Y52+③!Y52+⑥!Y52+H!Y52</f>
        <v>51000</v>
      </c>
      <c r="Z52" s="117">
        <f>①!Z52+②!Z52+④!Z52+⑤!Z52+③!Z52+⑥!Z52+H!Z52</f>
        <v>30000</v>
      </c>
      <c r="AA52" s="151">
        <f t="shared" si="60"/>
        <v>153000</v>
      </c>
      <c r="AB52" s="117">
        <f t="shared" si="60"/>
        <v>127600</v>
      </c>
      <c r="AC52" s="129">
        <f>①!AC52+②!AC52+④!AC52+⑤!AC52+③!AC52+⑥!AC52+H!AC52</f>
        <v>51000</v>
      </c>
      <c r="AD52" s="117">
        <f>①!AD52+②!AD52+④!AD52+⑤!AD52+③!AD52+⑥!AD52+H!AD52</f>
        <v>30000</v>
      </c>
      <c r="AE52" s="151">
        <f>①!AE52+②!AE52+④!AE52+⑤!AE52+③!AE52+⑥!AE52+H!AE52</f>
        <v>51000</v>
      </c>
      <c r="AF52" s="117">
        <f>①!AF52+②!AF52+④!AF52+⑤!AF52+③!AF52+⑥!AF52+H!AF52</f>
        <v>41000</v>
      </c>
      <c r="AG52" s="151">
        <f>①!AG52+②!AG52+④!AG52+⑤!AG52+③!AG52+⑥!AG52+H!AG52</f>
        <v>51000</v>
      </c>
      <c r="AH52" s="117">
        <f>①!AH52+②!AH52+④!AH52+⑤!AH52+③!AH52+⑥!AH52+H!AH52</f>
        <v>30000</v>
      </c>
      <c r="AI52" s="151">
        <f t="shared" si="61"/>
        <v>153000</v>
      </c>
      <c r="AJ52" s="117">
        <f t="shared" si="61"/>
        <v>101000</v>
      </c>
      <c r="AK52" s="151">
        <f t="shared" si="56"/>
        <v>306000</v>
      </c>
      <c r="AL52" s="117">
        <f t="shared" si="56"/>
        <v>228600</v>
      </c>
      <c r="AM52" s="129">
        <f t="shared" si="57"/>
        <v>612000</v>
      </c>
      <c r="AN52" s="117">
        <f t="shared" si="57"/>
        <v>513600</v>
      </c>
    </row>
    <row r="53" spans="1:40" ht="20.25" customHeight="1" x14ac:dyDescent="0.15">
      <c r="A53" s="23"/>
      <c r="B53" s="5" t="s">
        <v>190</v>
      </c>
      <c r="C53" s="151">
        <f>①!C53+②!C53+④!C53+⑤!C53+③!C53+⑥!C53+H!C53</f>
        <v>155000</v>
      </c>
      <c r="D53" s="117">
        <f>①!D53+②!D53+④!D53+⑤!D53+③!D53+⑥!D53+H!D53</f>
        <v>0</v>
      </c>
      <c r="E53" s="151">
        <f>①!E53+②!E53+④!E53+⑤!E53+③!E53+⑥!E53+H!E53</f>
        <v>155000</v>
      </c>
      <c r="F53" s="117">
        <f>①!F53+②!F53+④!F53+⑤!F53+③!F53+⑥!F53+H!F53</f>
        <v>0</v>
      </c>
      <c r="G53" s="151">
        <f>①!G53+②!G53+④!G53+⑤!G53+③!G53+⑥!G53+H!G53</f>
        <v>155000</v>
      </c>
      <c r="H53" s="117">
        <f>①!H53+②!H53+④!H53+⑤!H53+③!H53+⑥!H53+H!H53</f>
        <v>0</v>
      </c>
      <c r="I53" s="151">
        <f t="shared" si="58"/>
        <v>465000</v>
      </c>
      <c r="J53" s="117">
        <f t="shared" si="58"/>
        <v>0</v>
      </c>
      <c r="K53" s="129">
        <f>①!K53+②!K53+④!K53+⑤!K53+③!K53+⑥!K53+H!K53</f>
        <v>155000</v>
      </c>
      <c r="L53" s="117">
        <f>①!L53+②!L53+④!L53+⑤!L53+③!L53+⑥!L53+H!L53</f>
        <v>0</v>
      </c>
      <c r="M53" s="151">
        <f>①!M53+②!M53+④!M53+⑤!M53+③!M53+⑥!M53+H!M53</f>
        <v>155000</v>
      </c>
      <c r="N53" s="117">
        <f>①!N53+②!N53+④!N53+⑤!N53+③!N53+⑥!N53+H!N53</f>
        <v>0</v>
      </c>
      <c r="O53" s="151">
        <f>①!O53+②!O53+④!O53+⑤!O53+③!O53+⑥!O53+H!O53</f>
        <v>155000</v>
      </c>
      <c r="P53" s="117">
        <f>①!P53+②!P53+④!P53+⑤!P53+③!P53+⑥!P53+H!P53</f>
        <v>0</v>
      </c>
      <c r="Q53" s="151">
        <f t="shared" si="59"/>
        <v>465000</v>
      </c>
      <c r="R53" s="117">
        <f t="shared" si="59"/>
        <v>0</v>
      </c>
      <c r="S53" s="151">
        <f t="shared" si="55"/>
        <v>930000</v>
      </c>
      <c r="T53" s="117">
        <f t="shared" si="55"/>
        <v>0</v>
      </c>
      <c r="U53" s="129">
        <f>①!U53+②!U53+④!U53+⑤!U53+③!U53+⑥!U53+H!U53</f>
        <v>155000</v>
      </c>
      <c r="V53" s="117">
        <f>①!V53+②!V53+④!V53+⑤!V53+③!V53+⑥!V53+H!V53</f>
        <v>0</v>
      </c>
      <c r="W53" s="151">
        <f>①!W53+②!W53+④!W53+⑤!W53+③!W53+⑥!W53+H!W53</f>
        <v>155000</v>
      </c>
      <c r="X53" s="117">
        <f>①!X53+②!X53+④!X53+⑤!X53+③!X53+⑥!X53+H!X53</f>
        <v>0</v>
      </c>
      <c r="Y53" s="151">
        <f>①!Y53+②!Y53+④!Y53+⑤!Y53+③!Y53+⑥!Y53+H!Y53</f>
        <v>155000</v>
      </c>
      <c r="Z53" s="117">
        <f>①!Z53+②!Z53+④!Z53+⑤!Z53+③!Z53+⑥!Z53+H!Z53</f>
        <v>0</v>
      </c>
      <c r="AA53" s="151">
        <f t="shared" si="60"/>
        <v>465000</v>
      </c>
      <c r="AB53" s="117">
        <f t="shared" si="60"/>
        <v>0</v>
      </c>
      <c r="AC53" s="129">
        <f>①!AC53+②!AC53+④!AC53+⑤!AC53+③!AC53+⑥!AC53+H!AC53</f>
        <v>155000</v>
      </c>
      <c r="AD53" s="117">
        <f>①!AD53+②!AD53+④!AD53+⑤!AD53+③!AD53+⑥!AD53+H!AD53</f>
        <v>0</v>
      </c>
      <c r="AE53" s="151">
        <f>①!AE53+②!AE53+④!AE53+⑤!AE53+③!AE53+⑥!AE53+H!AE53</f>
        <v>155000</v>
      </c>
      <c r="AF53" s="117">
        <f>①!AF53+②!AF53+④!AF53+⑤!AF53+③!AF53+⑥!AF53+H!AF53</f>
        <v>0</v>
      </c>
      <c r="AG53" s="151">
        <f>①!AG53+②!AG53+④!AG53+⑤!AG53+③!AG53+⑥!AG53+H!AG53</f>
        <v>150000</v>
      </c>
      <c r="AH53" s="117">
        <f>①!AH53+②!AH53+④!AH53+⑤!AH53+③!AH53+⑥!AH53+H!AH53</f>
        <v>0</v>
      </c>
      <c r="AI53" s="151">
        <f t="shared" si="61"/>
        <v>460000</v>
      </c>
      <c r="AJ53" s="117">
        <f t="shared" si="61"/>
        <v>0</v>
      </c>
      <c r="AK53" s="151">
        <f t="shared" si="56"/>
        <v>925000</v>
      </c>
      <c r="AL53" s="117">
        <f t="shared" si="56"/>
        <v>0</v>
      </c>
      <c r="AM53" s="129">
        <f t="shared" si="57"/>
        <v>1855000</v>
      </c>
      <c r="AN53" s="117">
        <f t="shared" si="57"/>
        <v>0</v>
      </c>
    </row>
    <row r="54" spans="1:40" ht="20.25" customHeight="1" x14ac:dyDescent="0.15">
      <c r="A54" s="26"/>
      <c r="B54" s="27" t="s">
        <v>55</v>
      </c>
      <c r="C54" s="152">
        <f>①!C54+②!C54+④!C54+⑤!C54+③!C54+⑥!C54+H!C54</f>
        <v>387000</v>
      </c>
      <c r="D54" s="118">
        <f>①!D54+②!D54+④!D54+⑤!D54+③!D54+⑥!D54+H!D54</f>
        <v>123670</v>
      </c>
      <c r="E54" s="152">
        <f>①!E54+②!E54+④!E54+⑤!E54+③!E54+⑥!E54+H!E54</f>
        <v>387000</v>
      </c>
      <c r="F54" s="118">
        <f>①!F54+②!F54+④!F54+⑤!F54+③!F54+⑥!F54+H!F54</f>
        <v>112395</v>
      </c>
      <c r="G54" s="152">
        <f>①!G54+②!G54+④!G54+⑤!G54+③!G54+⑥!G54+H!G54</f>
        <v>387000</v>
      </c>
      <c r="H54" s="118">
        <f>①!H54+②!H54+④!H54+⑤!H54+③!H54+⑥!H54+H!H54</f>
        <v>130354</v>
      </c>
      <c r="I54" s="152">
        <f>C54+E54+G54</f>
        <v>1161000</v>
      </c>
      <c r="J54" s="118">
        <f>D54+F54+H54</f>
        <v>366419</v>
      </c>
      <c r="K54" s="130">
        <f>①!K54+②!K54+④!K54+⑤!K54+③!K54+⑥!K54+H!K54</f>
        <v>387000</v>
      </c>
      <c r="L54" s="118">
        <f>①!L54+②!L54+④!L54+⑤!L54+③!L54+⑥!L54+H!L54</f>
        <v>166832</v>
      </c>
      <c r="M54" s="152">
        <f>①!M54+②!M54+④!M54+⑤!M54+③!M54+⑥!M54+H!M54</f>
        <v>387000</v>
      </c>
      <c r="N54" s="158">
        <f>①!N54+②!N54+④!N54+⑤!N54+③!N54+⑥!N54+H!N54</f>
        <v>132630</v>
      </c>
      <c r="O54" s="152">
        <f>①!O54+②!O54+④!O54+⑤!O54+③!O54+⑥!O54+H!O54</f>
        <v>387000</v>
      </c>
      <c r="P54" s="118">
        <f>①!P54+②!P54+④!P54+⑤!P54+③!P54+⑥!P54+H!P54</f>
        <v>154716</v>
      </c>
      <c r="Q54" s="152">
        <f t="shared" si="59"/>
        <v>1161000</v>
      </c>
      <c r="R54" s="118">
        <f t="shared" si="59"/>
        <v>454178</v>
      </c>
      <c r="S54" s="152">
        <f t="shared" si="55"/>
        <v>2322000</v>
      </c>
      <c r="T54" s="118">
        <f t="shared" si="55"/>
        <v>820597</v>
      </c>
      <c r="U54" s="130">
        <f>①!U54+②!U54+④!U54+⑤!U54+③!U54+⑥!U54+H!U54</f>
        <v>387000</v>
      </c>
      <c r="V54" s="118">
        <f>①!V54+②!V54+④!V54+⑤!V54+③!V54+⑥!V54+H!V54</f>
        <v>143467</v>
      </c>
      <c r="W54" s="152">
        <f>①!W54+②!W54+④!W54+⑤!W54+③!W54+⑥!W54+H!W54</f>
        <v>387000</v>
      </c>
      <c r="X54" s="118">
        <f>①!X54+②!X54+④!X54+⑤!X54+③!X54+⑥!X54+H!X54</f>
        <v>136281</v>
      </c>
      <c r="Y54" s="152">
        <f>①!Y54+②!Y54+④!Y54+⑤!Y54+③!Y54+⑥!Y54+H!Y54</f>
        <v>387000</v>
      </c>
      <c r="Z54" s="118">
        <f>①!Z54+②!Z54+④!Z54+⑤!Z54+③!Z54+⑥!Z54+H!Z54</f>
        <v>165361</v>
      </c>
      <c r="AA54" s="152">
        <f t="shared" si="60"/>
        <v>1161000</v>
      </c>
      <c r="AB54" s="118">
        <f t="shared" si="60"/>
        <v>445109</v>
      </c>
      <c r="AC54" s="130">
        <f>①!AC54+②!AC54+④!AC54+⑤!AC54+③!AC54+⑥!AC54+H!AC54</f>
        <v>387000</v>
      </c>
      <c r="AD54" s="118">
        <f>①!AD54+②!AD54+④!AD54+⑤!AD54+③!AD54+⑥!AD54+H!AD54</f>
        <v>284242</v>
      </c>
      <c r="AE54" s="152">
        <f>①!AE54+②!AE54+④!AE54+⑤!AE54+③!AE54+⑥!AE54+H!AE54</f>
        <v>387000</v>
      </c>
      <c r="AF54" s="118">
        <f>①!AF54+②!AF54+④!AF54+⑤!AF54+③!AF54+⑥!AF54+H!AF54</f>
        <v>201007</v>
      </c>
      <c r="AG54" s="152">
        <f>①!AG54+②!AG54+④!AG54+⑤!AG54+③!AG54+⑥!AG54+H!AG54</f>
        <v>387000</v>
      </c>
      <c r="AH54" s="118">
        <f>①!AH54+②!AH54+④!AH54+⑤!AH54+③!AH54+⑥!AH54+H!AH54</f>
        <v>185488</v>
      </c>
      <c r="AI54" s="152">
        <f t="shared" si="61"/>
        <v>1161000</v>
      </c>
      <c r="AJ54" s="118">
        <f t="shared" si="61"/>
        <v>670737</v>
      </c>
      <c r="AK54" s="152">
        <f t="shared" si="56"/>
        <v>2322000</v>
      </c>
      <c r="AL54" s="118">
        <f t="shared" si="56"/>
        <v>1115846</v>
      </c>
      <c r="AM54" s="130">
        <f t="shared" si="57"/>
        <v>4644000</v>
      </c>
      <c r="AN54" s="118">
        <f>SUM(D54,F54,H54,L54,N54,P54,V54,X54,Z54,AD54,AF54,AH54)</f>
        <v>1936443</v>
      </c>
    </row>
    <row r="55" spans="1:40" ht="20.25" customHeight="1" x14ac:dyDescent="0.15">
      <c r="A55" s="23"/>
      <c r="B55" s="22" t="s">
        <v>188</v>
      </c>
      <c r="C55" s="157">
        <f>①!C55+②!C55+④!C55+⑤!C55+③!C55+⑥!C55+H!C55</f>
        <v>0</v>
      </c>
      <c r="D55" s="158">
        <f>①!D55+②!D55+④!D55+⑤!D55+③!D55+⑥!D55+H!D55</f>
        <v>0</v>
      </c>
      <c r="E55" s="157">
        <f>①!E55+②!E55+④!E55+⑤!E55+③!E55+⑥!E55+H!E55</f>
        <v>0</v>
      </c>
      <c r="F55" s="158">
        <f>①!F55+②!F55+④!F55+⑤!F55+③!F55+⑥!F55+H!F55</f>
        <v>0</v>
      </c>
      <c r="G55" s="157">
        <f>①!G55+②!G55+④!G55+⑤!G55+③!G55+⑥!G55+H!G55</f>
        <v>0</v>
      </c>
      <c r="H55" s="158">
        <f>①!H55+②!H55+④!H55+⑤!H55+③!H55+⑥!H55+H!H55</f>
        <v>0</v>
      </c>
      <c r="I55" s="157">
        <f t="shared" ref="I55:I57" si="62">C55+E55+G55</f>
        <v>0</v>
      </c>
      <c r="J55" s="158"/>
      <c r="K55" s="159">
        <f>①!K55+②!K55+④!K55+⑤!K55+③!K55+⑥!K55+H!K55</f>
        <v>0</v>
      </c>
      <c r="L55" s="158">
        <f>①!L55+②!L55+④!L55+⑤!L55+③!L55+⑥!L55+H!L55</f>
        <v>0</v>
      </c>
      <c r="M55" s="157">
        <f>①!M55+②!M55+④!M55+⑤!M55+③!M55+⑥!M55+H!M55</f>
        <v>0</v>
      </c>
      <c r="N55" s="196">
        <f>①!N55+②!N55+④!N55+⑤!N55+③!N55+⑥!N55+H!N55</f>
        <v>0</v>
      </c>
      <c r="O55" s="157">
        <f>①!O55+②!O55+④!O55+⑤!O55+③!O55+⑥!O55+H!O55</f>
        <v>0</v>
      </c>
      <c r="P55" s="158">
        <f>①!P55+②!P55+④!P55+⑤!P55+③!P55+⑥!P55+H!P55</f>
        <v>0</v>
      </c>
      <c r="Q55" s="157"/>
      <c r="R55" s="158">
        <f>SUM(L55,N55,P55)</f>
        <v>0</v>
      </c>
      <c r="S55" s="157"/>
      <c r="T55" s="158">
        <f>J55+R55</f>
        <v>0</v>
      </c>
      <c r="U55" s="159">
        <f>①!U55+②!U55+④!U55+⑤!U55+③!U55+⑥!U55+H!U55</f>
        <v>0</v>
      </c>
      <c r="V55" s="158">
        <f>①!V55+②!V55+④!V55+⑤!V55+③!V55+⑥!V55+H!V55</f>
        <v>100000</v>
      </c>
      <c r="W55" s="157">
        <f>①!W55+②!W55+④!W55+⑤!W55+③!W55+⑥!W55+H!W55</f>
        <v>0</v>
      </c>
      <c r="X55" s="158">
        <f>①!X55+②!X55+④!X55+⑤!X55+③!X55+⑥!X55+H!X55</f>
        <v>0</v>
      </c>
      <c r="Y55" s="157">
        <f>①!Y55+②!Y55+④!Y55+⑤!Y55+③!Y55+⑥!Y55+H!Y55</f>
        <v>0</v>
      </c>
      <c r="Z55" s="158">
        <f>①!Z55+②!Z55+④!Z55+⑤!Z55+③!Z55+⑥!Z55+H!Z55</f>
        <v>0</v>
      </c>
      <c r="AA55" s="157"/>
      <c r="AB55" s="158">
        <f>V55+X55+Z55</f>
        <v>100000</v>
      </c>
      <c r="AC55" s="159">
        <f>①!AC55+②!AC55+④!AC55+⑤!AC55+③!AC55+⑥!AC55+H!AC55</f>
        <v>0</v>
      </c>
      <c r="AD55" s="158">
        <f>①!AD55+②!AD55+④!AD55+⑤!AD55+③!AD55+⑥!AD55+H!AD55</f>
        <v>0</v>
      </c>
      <c r="AE55" s="157">
        <f>①!AE55+②!AE55+④!AE55+⑤!AE55+③!AE55+⑥!AE55+H!AE55</f>
        <v>0</v>
      </c>
      <c r="AF55" s="158">
        <f>①!AF55+②!AF55+④!AF55+⑤!AF55+③!AF55+⑥!AF55+H!AF55</f>
        <v>0</v>
      </c>
      <c r="AG55" s="157">
        <f>①!AG55+②!AG55+④!AG55+⑤!AG55+③!AG55+⑥!AG55+H!AG55</f>
        <v>0</v>
      </c>
      <c r="AH55" s="158">
        <f>①!AH55+②!AH55+④!AH55+⑤!AH55+③!AH55+⑥!AH55+H!AH55</f>
        <v>0</v>
      </c>
      <c r="AI55" s="157"/>
      <c r="AJ55" s="158"/>
      <c r="AK55" s="157"/>
      <c r="AL55" s="158"/>
      <c r="AM55" s="159">
        <f t="shared" si="57"/>
        <v>0</v>
      </c>
      <c r="AN55" s="158">
        <f t="shared" ref="AN55:AN58" si="63">SUM(D55,F55,H55,L55,N55,P55,V55,X55,Z55,AD55,AF55,AH55)</f>
        <v>100000</v>
      </c>
    </row>
    <row r="56" spans="1:40" ht="20.25" customHeight="1" x14ac:dyDescent="0.15">
      <c r="A56" s="21" t="s">
        <v>81</v>
      </c>
      <c r="B56" s="5" t="s">
        <v>207</v>
      </c>
      <c r="C56" s="150">
        <f>①!C56+②!C57+④!C56+⑤!C56+③!C56+⑥!C56+H!C56</f>
        <v>250000</v>
      </c>
      <c r="D56" s="116">
        <f>①!D56+②!D57+④!D56+⑤!D56+③!D56+⑥!D56+H!D56</f>
        <v>293575</v>
      </c>
      <c r="E56" s="150">
        <f>①!E56+②!E57+④!E56+⑤!E56+③!E56+⑥!E56+H!E56</f>
        <v>250000</v>
      </c>
      <c r="F56" s="116">
        <f>①!F56+②!F57+④!F56+⑤!F56+③!F56+⑥!F56+H!F56</f>
        <v>313043</v>
      </c>
      <c r="G56" s="150">
        <f>①!G56+②!G57+④!G56+⑤!G56+③!G56+⑥!G56+H!G56</f>
        <v>250000</v>
      </c>
      <c r="H56" s="116">
        <f>①!H56+②!H57+④!H56+⑤!H56+③!H56+⑥!H56+H!H56</f>
        <v>166945</v>
      </c>
      <c r="I56" s="150">
        <f t="shared" si="62"/>
        <v>750000</v>
      </c>
      <c r="J56" s="116">
        <f>D56+F56+H56</f>
        <v>773563</v>
      </c>
      <c r="K56" s="128">
        <f>①!K56+②!K57+④!K56+⑤!K56+③!K56+⑥!K56+H!K56</f>
        <v>250000</v>
      </c>
      <c r="L56" s="116">
        <f>①!L56+②!L57+④!L56+⑤!L56+③!L56+⑥!L56+H!L56</f>
        <v>274846</v>
      </c>
      <c r="M56" s="150">
        <f>①!M56+②!M57+④!M56+⑤!M56+③!M56+⑥!M56+H!M56</f>
        <v>250000</v>
      </c>
      <c r="N56" s="116">
        <f>①!N56+②!N57+④!N56+⑤!N56+③!N56+⑥!N56+H!N56</f>
        <v>138438</v>
      </c>
      <c r="O56" s="150">
        <f>①!O56+②!O57+④!O56+⑤!O56+③!O56+⑥!O56+H!O56</f>
        <v>250000</v>
      </c>
      <c r="P56" s="116">
        <f>①!P56+②!P57+④!P56+⑤!P56+③!P56+⑥!P56+H!P56</f>
        <v>250560</v>
      </c>
      <c r="Q56" s="150">
        <f t="shared" si="59"/>
        <v>750000</v>
      </c>
      <c r="R56" s="116">
        <f t="shared" si="59"/>
        <v>663844</v>
      </c>
      <c r="S56" s="150">
        <f t="shared" si="55"/>
        <v>1500000</v>
      </c>
      <c r="T56" s="116">
        <f t="shared" si="55"/>
        <v>1437407</v>
      </c>
      <c r="U56" s="128">
        <f>①!U56+②!U57+④!U56+⑤!U56+③!U56+⑥!U56+H!U56</f>
        <v>250000</v>
      </c>
      <c r="V56" s="116">
        <f>①!V56+②!V57+④!V56+⑤!V56+③!V56+⑥!V56+H!V56</f>
        <v>418496</v>
      </c>
      <c r="W56" s="150">
        <f>①!W56+②!W57+④!W56+⑤!W56+③!W56+⑥!W56+H!W56</f>
        <v>250000</v>
      </c>
      <c r="X56" s="116">
        <f>①!X56+②!X57+④!X56+⑤!X56+③!X56+⑥!X56+H!X56</f>
        <v>312405</v>
      </c>
      <c r="Y56" s="150">
        <f>①!Y56+②!Y57+④!Y56+⑤!Y56+③!Y56+⑥!Y56+H!Y56</f>
        <v>250000</v>
      </c>
      <c r="Z56" s="116">
        <f>①!Z56+②!Z57+④!Z56+⑤!Z56+③!Z56+⑥!Z56+H!Z56</f>
        <v>279365</v>
      </c>
      <c r="AA56" s="150">
        <f t="shared" si="60"/>
        <v>750000</v>
      </c>
      <c r="AB56" s="116">
        <f t="shared" si="60"/>
        <v>1010266</v>
      </c>
      <c r="AC56" s="128">
        <f>①!AC56+②!AC57+④!AC56+⑤!AC56+③!AC56+⑥!AC56+H!AC56</f>
        <v>250000</v>
      </c>
      <c r="AD56" s="116">
        <f>①!AD56+②!AD57+④!AD56+⑤!AD56+③!AD56+⑥!AD56+H!AD56</f>
        <v>355439</v>
      </c>
      <c r="AE56" s="150">
        <f>①!AE56+②!AE57+④!AE56+⑤!AE56+③!AE56+⑥!AE56+H!AE56</f>
        <v>250000</v>
      </c>
      <c r="AF56" s="116">
        <f>①!AF56+②!AF57+④!AF56+⑤!AF56+③!AF56+⑥!AF56+H!AF56</f>
        <v>0</v>
      </c>
      <c r="AG56" s="150">
        <f>①!AG56+②!AG57+④!AG56+⑤!AG56+③!AG56+⑥!AG56+H!AG56</f>
        <v>250000</v>
      </c>
      <c r="AH56" s="116">
        <f>①!AH56+②!AH57+④!AH56+⑤!AH56+③!AH56+⑥!AH56+H!AH56</f>
        <v>366781</v>
      </c>
      <c r="AI56" s="150">
        <f t="shared" si="61"/>
        <v>750000</v>
      </c>
      <c r="AJ56" s="116">
        <f t="shared" si="61"/>
        <v>722220</v>
      </c>
      <c r="AK56" s="150">
        <f t="shared" si="56"/>
        <v>1500000</v>
      </c>
      <c r="AL56" s="116">
        <f t="shared" si="56"/>
        <v>1732486</v>
      </c>
      <c r="AM56" s="128">
        <f t="shared" si="57"/>
        <v>3000000</v>
      </c>
      <c r="AN56" s="116">
        <f t="shared" si="63"/>
        <v>3169893</v>
      </c>
    </row>
    <row r="57" spans="1:40" ht="20.25" customHeight="1" thickBot="1" x14ac:dyDescent="0.2">
      <c r="A57" s="21" t="s">
        <v>82</v>
      </c>
      <c r="B57" s="6" t="s">
        <v>74</v>
      </c>
      <c r="C57" s="151">
        <f>①!C57+②!C57+④!C57+⑤!C57+③!C57+⑥!C57+H!C57</f>
        <v>0</v>
      </c>
      <c r="D57" s="117">
        <f>①!D57+②!D57+④!D57+⑤!D57+③!D57+⑥!D57+H!D57</f>
        <v>0</v>
      </c>
      <c r="E57" s="151">
        <f>①!E57+②!E57+④!E57+⑤!E57+③!E57+⑥!E57+H!E57</f>
        <v>0</v>
      </c>
      <c r="F57" s="117">
        <f>①!F57+②!F57+④!F57+⑤!F57+③!F57+⑥!F57+H!F57</f>
        <v>0</v>
      </c>
      <c r="G57" s="151">
        <f>①!G57+②!G57+④!G57+⑤!G57+③!G57+⑥!G57+H!G57</f>
        <v>0</v>
      </c>
      <c r="H57" s="117">
        <f>①!H57+②!H57+④!H57+⑤!H57+③!H57+⑥!H57+H!H57</f>
        <v>0</v>
      </c>
      <c r="I57" s="151">
        <f t="shared" si="62"/>
        <v>0</v>
      </c>
      <c r="J57" s="117">
        <f t="shared" si="58"/>
        <v>0</v>
      </c>
      <c r="K57" s="129">
        <f>①!K57+②!K57+④!K57+⑤!K57+③!K57+⑥!K57+H!K57</f>
        <v>200000</v>
      </c>
      <c r="L57" s="117">
        <f>①!L57+②!L57+④!L57+⑤!L57+③!L57+⑥!L57+H!L57</f>
        <v>825000</v>
      </c>
      <c r="M57" s="151">
        <f>①!M57+②!M57+④!M57+⑤!M57+③!M57+⑥!M57+H!M57</f>
        <v>0</v>
      </c>
      <c r="N57" s="117">
        <f>①!N57+②!N57+④!N57+⑤!N57+③!N57+⑥!N57+H!N57</f>
        <v>0</v>
      </c>
      <c r="O57" s="151">
        <f>①!O57+②!O57+④!O57+⑤!O57+③!O57+⑥!O57+H!O57</f>
        <v>200000</v>
      </c>
      <c r="P57" s="117">
        <f>①!P57+②!P57+④!P57+⑤!P57+③!P57+⑥!P57+H!P57</f>
        <v>800000</v>
      </c>
      <c r="Q57" s="151">
        <f t="shared" si="59"/>
        <v>400000</v>
      </c>
      <c r="R57" s="117">
        <f t="shared" si="59"/>
        <v>1625000</v>
      </c>
      <c r="S57" s="151">
        <f t="shared" si="55"/>
        <v>400000</v>
      </c>
      <c r="T57" s="117">
        <f t="shared" si="55"/>
        <v>1625000</v>
      </c>
      <c r="U57" s="129">
        <f>①!U57+②!U57+④!U57+⑤!U57+③!U57+⑥!U57+H!U57</f>
        <v>0</v>
      </c>
      <c r="V57" s="117">
        <f>①!V57+②!V57+④!V57+⑤!V57+③!V57+⑥!V57+H!V57</f>
        <v>0</v>
      </c>
      <c r="W57" s="151">
        <f>①!W57+②!W57+④!W57+⑤!W57+③!W57+⑥!W57+H!W57</f>
        <v>0</v>
      </c>
      <c r="X57" s="117"/>
      <c r="Y57" s="151">
        <f>①!Y57+②!Y57+④!Y57+⑤!Y57+③!Y57+⑥!Y57+H!Y57</f>
        <v>200000</v>
      </c>
      <c r="Z57" s="117">
        <f>①!Z57+②!Z57+④!Z57+⑤!Z57+③!Z57+⑥!Z57+H!Z57</f>
        <v>0</v>
      </c>
      <c r="AA57" s="151">
        <f t="shared" si="60"/>
        <v>200000</v>
      </c>
      <c r="AB57" s="117">
        <f t="shared" si="60"/>
        <v>0</v>
      </c>
      <c r="AC57" s="129">
        <f>①!AC57+②!AC57+④!AC57+⑤!AC57+③!AC57+⑥!AC57+H!AC57</f>
        <v>0</v>
      </c>
      <c r="AD57" s="117">
        <f>①!AD57+②!AD58+④!AD57+⑤!AD57+③!AD57+⑥!AD57+H!AD57</f>
        <v>1743751</v>
      </c>
      <c r="AE57" s="151">
        <f>①!AE57+②!AE57+④!AE57+⑤!AE57+③!AE57+⑥!AE57+H!AE57</f>
        <v>0</v>
      </c>
      <c r="AF57" s="117">
        <f>①!AF57+②!AF57+④!AF57+⑤!AF57+③!AF57+⑥!AF57+H!AF57</f>
        <v>0</v>
      </c>
      <c r="AG57" s="151">
        <f>①!AG57+②!AG57+④!AG57+⑤!AG57+③!AG57+⑥!AG57+H!AG57</f>
        <v>0</v>
      </c>
      <c r="AH57" s="117">
        <f>①!AH57+②!AH58+④!AH57+⑤!AH57+③!AH57+⑥!AH57+H!AH57</f>
        <v>929313</v>
      </c>
      <c r="AI57" s="151">
        <f t="shared" si="61"/>
        <v>0</v>
      </c>
      <c r="AJ57" s="117">
        <f t="shared" si="61"/>
        <v>2673064</v>
      </c>
      <c r="AK57" s="151">
        <f t="shared" si="56"/>
        <v>200000</v>
      </c>
      <c r="AL57" s="117">
        <f t="shared" si="56"/>
        <v>2673064</v>
      </c>
      <c r="AM57" s="129">
        <f t="shared" si="57"/>
        <v>600000</v>
      </c>
      <c r="AN57" s="117">
        <f t="shared" si="63"/>
        <v>4298064</v>
      </c>
    </row>
    <row r="58" spans="1:40" ht="20.25" customHeight="1" thickTop="1" thickBot="1" x14ac:dyDescent="0.2">
      <c r="A58" s="24"/>
      <c r="B58" s="7" t="s">
        <v>27</v>
      </c>
      <c r="C58" s="40">
        <f t="shared" ref="C58:AK58" si="64">SUM(C33:C57)</f>
        <v>18182716</v>
      </c>
      <c r="D58" s="14">
        <f t="shared" si="64"/>
        <v>17440264</v>
      </c>
      <c r="E58" s="40">
        <f t="shared" si="64"/>
        <v>18092716</v>
      </c>
      <c r="F58" s="14">
        <f>SUM(F33:F57)</f>
        <v>17638921</v>
      </c>
      <c r="G58" s="40">
        <f t="shared" si="64"/>
        <v>18440641</v>
      </c>
      <c r="H58" s="14">
        <f>SUM(H33:H57)</f>
        <v>21095852</v>
      </c>
      <c r="I58" s="40">
        <f t="shared" si="64"/>
        <v>54716073</v>
      </c>
      <c r="J58" s="14">
        <f>SUM(J33:J57)</f>
        <v>56175037</v>
      </c>
      <c r="K58" s="66">
        <f t="shared" ref="K58" si="65">SUM(K33:K57)</f>
        <v>18750641</v>
      </c>
      <c r="L58" s="14">
        <f>SUM(L33:L57)</f>
        <v>17019735</v>
      </c>
      <c r="M58" s="40">
        <f t="shared" ref="M58" si="66">SUM(M33:M57)</f>
        <v>18485641</v>
      </c>
      <c r="N58" s="14">
        <f>SUM(N33:N57)</f>
        <v>15988216</v>
      </c>
      <c r="O58" s="40">
        <f t="shared" ref="O58" si="67">SUM(O33:O57)</f>
        <v>18682115</v>
      </c>
      <c r="P58" s="14">
        <f t="shared" si="64"/>
        <v>19315695</v>
      </c>
      <c r="Q58" s="40">
        <f t="shared" si="64"/>
        <v>55918397</v>
      </c>
      <c r="R58" s="14">
        <f t="shared" si="64"/>
        <v>52323646</v>
      </c>
      <c r="S58" s="40">
        <f t="shared" si="64"/>
        <v>110634470</v>
      </c>
      <c r="T58" s="14">
        <f t="shared" si="64"/>
        <v>108498683</v>
      </c>
      <c r="U58" s="66">
        <f t="shared" ref="U58" si="68">SUM(U33:U57)</f>
        <v>18562115</v>
      </c>
      <c r="V58" s="14">
        <f t="shared" si="64"/>
        <v>17171865</v>
      </c>
      <c r="W58" s="40">
        <f t="shared" ref="W58" si="69">SUM(W33:W57)</f>
        <v>18482115</v>
      </c>
      <c r="X58" s="14">
        <f t="shared" si="64"/>
        <v>15599695</v>
      </c>
      <c r="Y58" s="40">
        <f t="shared" ref="Y58" si="70">SUM(Y33:Y57)</f>
        <v>18895065</v>
      </c>
      <c r="Z58" s="14">
        <f>SUM(Z33:Z57)</f>
        <v>21909832</v>
      </c>
      <c r="AA58" s="40">
        <f t="shared" si="64"/>
        <v>55939295</v>
      </c>
      <c r="AB58" s="14">
        <f t="shared" si="64"/>
        <v>54681392</v>
      </c>
      <c r="AC58" s="66">
        <f t="shared" ref="AC58" si="71">SUM(AC33:AC57)</f>
        <v>18605065</v>
      </c>
      <c r="AD58" s="14">
        <f t="shared" si="64"/>
        <v>24592957</v>
      </c>
      <c r="AE58" s="40">
        <f t="shared" ref="AE58" si="72">SUM(AE33:AE57)</f>
        <v>18850065</v>
      </c>
      <c r="AF58" s="14">
        <f>SUM(AF33:AF57)</f>
        <v>17497635</v>
      </c>
      <c r="AG58" s="40">
        <f t="shared" ref="AG58" si="73">SUM(AG33:AG57)</f>
        <v>18723015</v>
      </c>
      <c r="AH58" s="14">
        <f t="shared" si="64"/>
        <v>17255685</v>
      </c>
      <c r="AI58" s="40">
        <f t="shared" si="64"/>
        <v>56178145</v>
      </c>
      <c r="AJ58" s="14">
        <f t="shared" si="64"/>
        <v>59346277</v>
      </c>
      <c r="AK58" s="40">
        <f t="shared" si="64"/>
        <v>112117440</v>
      </c>
      <c r="AL58" s="14">
        <f>SUM(AL33:AL57)</f>
        <v>113927669</v>
      </c>
      <c r="AM58" s="66">
        <f>SUM(AM33:AM57)</f>
        <v>222751910</v>
      </c>
      <c r="AN58" s="14">
        <f t="shared" si="63"/>
        <v>222526352</v>
      </c>
    </row>
    <row r="59" spans="1:40" ht="20.25" customHeight="1" thickBot="1" x14ac:dyDescent="0.2">
      <c r="A59" s="212" t="s">
        <v>57</v>
      </c>
      <c r="B59" s="213"/>
      <c r="C59" s="41">
        <f t="shared" ref="C59:AK59" si="74">C32+C58</f>
        <v>42675856.838098235</v>
      </c>
      <c r="D59" s="15">
        <f t="shared" si="74"/>
        <v>41334138.327</v>
      </c>
      <c r="E59" s="41">
        <f t="shared" si="74"/>
        <v>42585856.838098235</v>
      </c>
      <c r="F59" s="15">
        <f>F32+F58</f>
        <v>43258848.208000004</v>
      </c>
      <c r="G59" s="41">
        <f t="shared" si="74"/>
        <v>44296405.615057468</v>
      </c>
      <c r="H59" s="15">
        <f>H32+H58</f>
        <v>46283899.064999998</v>
      </c>
      <c r="I59" s="41">
        <f t="shared" si="74"/>
        <v>129558119.29125394</v>
      </c>
      <c r="J59" s="15">
        <f>J32+J58</f>
        <v>130876885.59999999</v>
      </c>
      <c r="K59" s="67">
        <f t="shared" ref="K59" si="75">K32+K58</f>
        <v>44606405.615057468</v>
      </c>
      <c r="L59" s="15">
        <f t="shared" si="74"/>
        <v>42158955.664000005</v>
      </c>
      <c r="M59" s="41">
        <f t="shared" ref="M59" si="76">M32+M58</f>
        <v>44341405.615057468</v>
      </c>
      <c r="N59" s="15">
        <f>N32+N58</f>
        <v>41734619.004000001</v>
      </c>
      <c r="O59" s="41">
        <f t="shared" ref="O59" si="77">O32+O58</f>
        <v>44697383.615057468</v>
      </c>
      <c r="P59" s="15">
        <f t="shared" si="74"/>
        <v>44624295.760000005</v>
      </c>
      <c r="Q59" s="41">
        <f t="shared" si="74"/>
        <v>133645194.84517241</v>
      </c>
      <c r="R59" s="15">
        <f>R32+R58</f>
        <v>128517870.428</v>
      </c>
      <c r="S59" s="41">
        <f t="shared" si="74"/>
        <v>263203314.13642633</v>
      </c>
      <c r="T59" s="15">
        <f>T32+T58</f>
        <v>259394756.028</v>
      </c>
      <c r="U59" s="67">
        <f t="shared" ref="U59" si="78">U32+U58</f>
        <v>44577383.615057468</v>
      </c>
      <c r="V59" s="15">
        <f>V32+V58</f>
        <v>42392444.784999996</v>
      </c>
      <c r="W59" s="41">
        <f t="shared" ref="W59" si="79">W32+W58</f>
        <v>44497383.615057468</v>
      </c>
      <c r="X59" s="15">
        <f>X32+X58</f>
        <v>40937097.607999995</v>
      </c>
      <c r="Y59" s="41">
        <f t="shared" ref="Y59" si="80">Y32+Y58</f>
        <v>45382745.615057468</v>
      </c>
      <c r="Z59" s="15">
        <f>Z32+Z58</f>
        <v>47521573.068000004</v>
      </c>
      <c r="AA59" s="41">
        <f t="shared" si="74"/>
        <v>134457512.84517241</v>
      </c>
      <c r="AB59" s="15">
        <f t="shared" si="74"/>
        <v>130851115.461</v>
      </c>
      <c r="AC59" s="67">
        <f t="shared" ref="AC59" si="81">AC32+AC58</f>
        <v>45092745.615057468</v>
      </c>
      <c r="AD59" s="15">
        <f>AD32+AD58</f>
        <v>49092473.781000003</v>
      </c>
      <c r="AE59" s="41">
        <f t="shared" ref="AE59" si="82">AE32+AE58</f>
        <v>45337745.615057468</v>
      </c>
      <c r="AF59" s="15">
        <f>AF32+AF58</f>
        <v>64590244.311999999</v>
      </c>
      <c r="AG59" s="41">
        <f t="shared" ref="AG59" si="83">AG32+AG58</f>
        <v>45683107.615057468</v>
      </c>
      <c r="AH59" s="15">
        <f>AH32+AH58</f>
        <v>42684044.585000001</v>
      </c>
      <c r="AI59" s="41">
        <f t="shared" si="74"/>
        <v>136113598.84517241</v>
      </c>
      <c r="AJ59" s="15">
        <f t="shared" si="74"/>
        <v>156366762.678</v>
      </c>
      <c r="AK59" s="41">
        <f t="shared" si="74"/>
        <v>270571111.69034481</v>
      </c>
      <c r="AL59" s="15">
        <f>AL32+AL58</f>
        <v>287117878.139</v>
      </c>
      <c r="AM59" s="67">
        <f>AM32+AM58</f>
        <v>533774425.82677126</v>
      </c>
      <c r="AN59" s="15">
        <f>AN32+AN58</f>
        <v>546612634.16699994</v>
      </c>
    </row>
    <row r="60" spans="1:40" ht="20.25" hidden="1" customHeight="1" thickBot="1" x14ac:dyDescent="0.2">
      <c r="A60" s="25"/>
      <c r="B60" s="160"/>
      <c r="C60" s="161"/>
      <c r="D60" s="162"/>
      <c r="E60" s="161"/>
      <c r="F60" s="162"/>
      <c r="G60" s="161"/>
      <c r="H60" s="162"/>
      <c r="I60" s="161"/>
      <c r="J60" s="162"/>
      <c r="K60" s="163"/>
      <c r="L60" s="162"/>
      <c r="M60" s="161"/>
      <c r="N60" s="162"/>
      <c r="O60" s="161"/>
      <c r="P60" s="162"/>
      <c r="Q60" s="161"/>
      <c r="R60" s="162"/>
      <c r="S60" s="161"/>
      <c r="T60" s="162"/>
      <c r="U60" s="163"/>
      <c r="V60" s="162"/>
      <c r="W60" s="161"/>
      <c r="X60" s="162"/>
      <c r="Y60" s="161"/>
      <c r="Z60" s="162"/>
      <c r="AA60" s="161"/>
      <c r="AB60" s="162"/>
      <c r="AC60" s="163"/>
      <c r="AD60" s="162"/>
      <c r="AE60" s="161"/>
      <c r="AF60" s="162"/>
      <c r="AG60" s="161"/>
      <c r="AH60" s="162"/>
      <c r="AI60" s="161"/>
      <c r="AJ60" s="162"/>
      <c r="AK60" s="161"/>
      <c r="AL60" s="162"/>
      <c r="AM60" s="163"/>
      <c r="AN60" s="162">
        <f t="shared" ref="AN60" si="84">SUM(D60,F60,H60,L60,N60,P60,V60)</f>
        <v>0</v>
      </c>
    </row>
    <row r="61" spans="1:40" ht="20.25" customHeight="1" x14ac:dyDescent="0.15">
      <c r="A61" s="214" t="s">
        <v>189</v>
      </c>
      <c r="B61" s="215"/>
      <c r="C61" s="37">
        <f>C21-C59</f>
        <v>-2869416.6002920046</v>
      </c>
      <c r="D61" s="199">
        <v>8676110</v>
      </c>
      <c r="E61" s="37">
        <f>E21-E59</f>
        <v>4469146.3918178603</v>
      </c>
      <c r="F61" s="199">
        <v>9540378</v>
      </c>
      <c r="G61" s="37">
        <f>G21-G59</f>
        <v>-569802.90266236663</v>
      </c>
      <c r="H61" s="199">
        <v>6860243</v>
      </c>
      <c r="I61" s="37">
        <f>I21-I59</f>
        <v>1029926.888863489</v>
      </c>
      <c r="J61" s="199">
        <f>SUM(D61,F61,H61)</f>
        <v>25076731</v>
      </c>
      <c r="K61" s="63">
        <f>K21-K59</f>
        <v>-73887.70266237855</v>
      </c>
      <c r="L61" s="199">
        <v>8189118</v>
      </c>
      <c r="M61" s="37">
        <f>M21-M59</f>
        <v>6131346.0973376334</v>
      </c>
      <c r="N61" s="199">
        <v>11598622</v>
      </c>
      <c r="O61" s="37">
        <f>O21-O59</f>
        <v>4367695.0973376036</v>
      </c>
      <c r="P61" s="199">
        <v>25291398</v>
      </c>
      <c r="Q61" s="37">
        <f>Q21-Q59</f>
        <v>10425153.492012858</v>
      </c>
      <c r="R61" s="199">
        <f>SUM(L61,N61,P61)</f>
        <v>45079138</v>
      </c>
      <c r="S61" s="37">
        <f>S21-S59</f>
        <v>11455080.380876422</v>
      </c>
      <c r="T61" s="199">
        <f>SUM(J61,R61)</f>
        <v>70155869</v>
      </c>
      <c r="U61" s="63">
        <f>U21-U59</f>
        <v>6871460.0973376334</v>
      </c>
      <c r="V61" s="199">
        <v>8586277</v>
      </c>
      <c r="W61" s="37">
        <f>W21-W59</f>
        <v>6765859.0973375738</v>
      </c>
      <c r="X61" s="199">
        <v>13191787</v>
      </c>
      <c r="Y61" s="37">
        <f>Y21-Y59</f>
        <v>8290706.0622956753</v>
      </c>
      <c r="Z61" s="199">
        <v>3882627</v>
      </c>
      <c r="AA61" s="37">
        <f t="shared" ref="AA61:AK61" si="85">AA21-AA59</f>
        <v>21928025.256971121</v>
      </c>
      <c r="AB61" s="9">
        <f>SUM(V61,X61,Z61)</f>
        <v>25660691</v>
      </c>
      <c r="AC61" s="63">
        <f>AC21-AC59</f>
        <v>9462490.0622956753</v>
      </c>
      <c r="AD61" s="199">
        <v>16982089</v>
      </c>
      <c r="AE61" s="37">
        <f>AE21-AE59</f>
        <v>11481357.262295663</v>
      </c>
      <c r="AF61" s="199">
        <v>-17748746</v>
      </c>
      <c r="AG61" s="37">
        <f>AG21-AG59</f>
        <v>6967541.9056010544</v>
      </c>
      <c r="AH61" s="199">
        <v>11103372</v>
      </c>
      <c r="AI61" s="37">
        <f t="shared" si="85"/>
        <v>27911389.230192304</v>
      </c>
      <c r="AJ61" s="9">
        <f t="shared" si="85"/>
        <v>-7309255.6780000031</v>
      </c>
      <c r="AK61" s="37">
        <f t="shared" si="85"/>
        <v>49839414.487163067</v>
      </c>
      <c r="AL61" s="9"/>
      <c r="AM61" s="63">
        <f>AM21-AM59</f>
        <v>61294494.868040085</v>
      </c>
      <c r="AN61" s="199">
        <f>SUM(D61,F61,H61,L61,N61,P61,V61,X61,Z61,AD61,AF61,AH61)</f>
        <v>106153275</v>
      </c>
    </row>
    <row r="62" spans="1:40" s="16" customFormat="1" ht="20.25" customHeight="1" thickBot="1" x14ac:dyDescent="0.2">
      <c r="A62" s="210" t="s">
        <v>29</v>
      </c>
      <c r="B62" s="211"/>
      <c r="C62" s="38">
        <f t="shared" ref="C62:AM62" si="86">IF(C5=0,"        ― ",C61/C5)</f>
        <v>-1.4370846993319352E-2</v>
      </c>
      <c r="D62" s="10">
        <f>IF(D5=0,"        ― ",D61/D5)</f>
        <v>4.281910144583654E-2</v>
      </c>
      <c r="E62" s="38">
        <f t="shared" si="86"/>
        <v>1.9380288593000321E-2</v>
      </c>
      <c r="F62" s="10">
        <f>IF(F5=0,"        ― ",F61/F5)</f>
        <v>4.136111145926577E-2</v>
      </c>
      <c r="G62" s="38">
        <f t="shared" si="86"/>
        <v>-2.6311369677472257E-3</v>
      </c>
      <c r="H62" s="10">
        <f t="shared" si="86"/>
        <v>3.0697082513904638E-2</v>
      </c>
      <c r="I62" s="38">
        <f t="shared" si="86"/>
        <v>1.5922598447405359E-3</v>
      </c>
      <c r="J62" s="10">
        <f t="shared" si="86"/>
        <v>3.8182202008096279E-2</v>
      </c>
      <c r="K62" s="64">
        <f t="shared" ref="K62" si="87">IF(K5=0,"        ― ",K61/K5)</f>
        <v>-3.3550549584932898E-4</v>
      </c>
      <c r="L62" s="10">
        <f t="shared" si="86"/>
        <v>3.7373454128036596E-2</v>
      </c>
      <c r="M62" s="38">
        <f t="shared" ref="M62" si="88">IF(M5=0,"        ― ",M61/M5)</f>
        <v>2.4937763729216526E-2</v>
      </c>
      <c r="N62" s="10">
        <f t="shared" si="86"/>
        <v>4.825493943198237E-2</v>
      </c>
      <c r="O62" s="38">
        <f t="shared" ref="O62" si="89">IF(O5=0,"        ― ",O61/O5)</f>
        <v>1.8454488014826492E-2</v>
      </c>
      <c r="P62" s="10">
        <f t="shared" si="86"/>
        <v>0.11030211518586062</v>
      </c>
      <c r="Q62" s="38">
        <f t="shared" si="86"/>
        <v>1.4834421538239643E-2</v>
      </c>
      <c r="R62" s="10">
        <f t="shared" si="86"/>
        <v>6.5448821041367858E-2</v>
      </c>
      <c r="S62" s="38">
        <f t="shared" si="86"/>
        <v>8.4877520399638511E-3</v>
      </c>
      <c r="T62" s="10">
        <f t="shared" si="86"/>
        <v>5.2139788249189772E-2</v>
      </c>
      <c r="U62" s="64">
        <f t="shared" ref="U62" si="90">IF(U5=0,"        ― ",U61/U5)</f>
        <v>2.7825508598857476E-2</v>
      </c>
      <c r="V62" s="10">
        <f t="shared" si="86"/>
        <v>3.623465297150693E-2</v>
      </c>
      <c r="W62" s="38">
        <f t="shared" ref="W62" si="91">IF(W5=0,"        ― ",W61/W5)</f>
        <v>2.7592574781115788E-2</v>
      </c>
      <c r="X62" s="10">
        <f t="shared" si="86"/>
        <v>5.6501693420613355E-2</v>
      </c>
      <c r="Y62" s="38">
        <f t="shared" ref="Y62" si="92">IF(Y5=0,"        ― ",Y61/Y5)</f>
        <v>3.2332102604133654E-2</v>
      </c>
      <c r="Z62" s="10">
        <f t="shared" si="86"/>
        <v>1.6636241301324656E-2</v>
      </c>
      <c r="AA62" s="38">
        <f t="shared" si="86"/>
        <v>2.9292931012556686E-2</v>
      </c>
      <c r="AB62" s="10">
        <f t="shared" si="86"/>
        <v>3.6459024092288482E-2</v>
      </c>
      <c r="AC62" s="64">
        <f t="shared" ref="AC62" si="93">IF(AC5=0,"        ― ",AC61/AC5)</f>
        <v>3.6365996311919828E-2</v>
      </c>
      <c r="AD62" s="10">
        <f t="shared" si="86"/>
        <v>7.3617786165069213E-2</v>
      </c>
      <c r="AE62" s="38">
        <f t="shared" ref="AE62" si="94">IF(AE5=0,"        ― ",AE61/AE5)</f>
        <v>4.2393940858122751E-2</v>
      </c>
      <c r="AF62" s="10">
        <f t="shared" si="86"/>
        <v>-7.7148378811132942E-2</v>
      </c>
      <c r="AG62" s="38">
        <f t="shared" ref="AG62" si="95">IF(AG5=0,"        ― ",AG61/AG5)</f>
        <v>2.7088094250998403E-2</v>
      </c>
      <c r="AH62" s="10">
        <f>IF(AH5=0,"        ― ",AH61/AH5)</f>
        <v>4.9394172940034724E-2</v>
      </c>
      <c r="AI62" s="38">
        <f t="shared" si="86"/>
        <v>3.5409540339921906E-2</v>
      </c>
      <c r="AJ62" s="10">
        <f t="shared" si="86"/>
        <v>-1.0662194173922272E-2</v>
      </c>
      <c r="AK62" s="38">
        <f t="shared" si="86"/>
        <v>3.2430174773212271E-2</v>
      </c>
      <c r="AL62" s="10">
        <f t="shared" si="86"/>
        <v>0</v>
      </c>
      <c r="AM62" s="64">
        <f t="shared" si="86"/>
        <v>2.1235447816746487E-2</v>
      </c>
      <c r="AN62" s="10">
        <f>IF(AN5=0,"        ― ",AN61/AN5)</f>
        <v>3.881449937786921E-2</v>
      </c>
    </row>
  </sheetData>
  <sheetProtection formatColumns="0" formatRows="0"/>
  <mergeCells count="32">
    <mergeCell ref="C1:I1"/>
    <mergeCell ref="K1:S1"/>
    <mergeCell ref="U1:AA1"/>
    <mergeCell ref="AC1:AN1"/>
    <mergeCell ref="A2:B2"/>
    <mergeCell ref="AK3:AL3"/>
    <mergeCell ref="AM3:AN3"/>
    <mergeCell ref="A4:B4"/>
    <mergeCell ref="A5:B5"/>
    <mergeCell ref="AE3:AF3"/>
    <mergeCell ref="AG3:AH3"/>
    <mergeCell ref="W3:X3"/>
    <mergeCell ref="Y3:Z3"/>
    <mergeCell ref="AA3:AB3"/>
    <mergeCell ref="AC3:AD3"/>
    <mergeCell ref="K3:L3"/>
    <mergeCell ref="M3:N3"/>
    <mergeCell ref="O3:P3"/>
    <mergeCell ref="Q3:R3"/>
    <mergeCell ref="S3:T3"/>
    <mergeCell ref="U3:V3"/>
    <mergeCell ref="A22:B22"/>
    <mergeCell ref="A59:B59"/>
    <mergeCell ref="A61:B61"/>
    <mergeCell ref="A62:B62"/>
    <mergeCell ref="AI3:AJ3"/>
    <mergeCell ref="A21:B21"/>
    <mergeCell ref="A3:B3"/>
    <mergeCell ref="C3:D3"/>
    <mergeCell ref="E3:F3"/>
    <mergeCell ref="G3:H3"/>
    <mergeCell ref="I3:J3"/>
  </mergeCells>
  <phoneticPr fontId="3"/>
  <printOptions horizontalCentered="1"/>
  <pageMargins left="0.23622047244094491" right="0.23622047244094491" top="0.55118110236220474" bottom="0.15748031496062992" header="0.31496062992125984" footer="0.31496062992125984"/>
  <pageSetup paperSize="8" scale="52" orientation="landscape" r:id="rId1"/>
  <headerFooter alignWithMargins="0">
    <oddHeader xml:space="preserve">&amp;L&amp;D&amp;T&amp;C&amp;"ＭＳ Ｐゴシック,太字"&amp;20第22期　売上・粗利・経費　実績 計画&amp;R
</oddHeader>
    <oddFooter xml:space="preserve">&amp;R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56"/>
  <sheetViews>
    <sheetView view="pageBreakPreview" zoomScaleNormal="100" zoomScaleSheetLayoutView="100" workbookViewId="0">
      <pane xSplit="2" ySplit="3" topLeftCell="C124" activePane="bottomRight" state="frozen"/>
      <selection activeCell="N270" sqref="N270:N283"/>
      <selection pane="topRight" activeCell="N270" sqref="N270:N283"/>
      <selection pane="bottomLeft" activeCell="N270" sqref="N270:N283"/>
      <selection pane="bottomRight" activeCell="E161" sqref="E161"/>
    </sheetView>
  </sheetViews>
  <sheetFormatPr defaultRowHeight="13.5" x14ac:dyDescent="0.15"/>
  <cols>
    <col min="1" max="1" width="13.875" style="165" bestFit="1" customWidth="1"/>
    <col min="2" max="2" width="9" style="165"/>
    <col min="3" max="4" width="11.375" style="165" customWidth="1"/>
    <col min="5" max="5" width="11.75" style="165" bestFit="1" customWidth="1"/>
    <col min="6" max="9" width="10.875" style="165" bestFit="1" customWidth="1"/>
    <col min="10" max="10" width="11.25" style="165" bestFit="1" customWidth="1"/>
    <col min="11" max="11" width="10.875" style="165" customWidth="1"/>
    <col min="12" max="14" width="10" style="165" customWidth="1"/>
    <col min="15" max="15" width="13.625" style="165" bestFit="1" customWidth="1"/>
    <col min="16" max="256" width="9" style="165"/>
    <col min="257" max="257" width="13.875" style="165" bestFit="1" customWidth="1"/>
    <col min="258" max="258" width="9" style="165"/>
    <col min="259" max="260" width="11.375" style="165" customWidth="1"/>
    <col min="261" max="261" width="11.75" style="165" bestFit="1" customWidth="1"/>
    <col min="262" max="265" width="10.875" style="165" bestFit="1" customWidth="1"/>
    <col min="266" max="266" width="11.25" style="165" bestFit="1" customWidth="1"/>
    <col min="267" max="267" width="10.875" style="165" customWidth="1"/>
    <col min="268" max="270" width="10" style="165" customWidth="1"/>
    <col min="271" max="271" width="13.625" style="165" bestFit="1" customWidth="1"/>
    <col min="272" max="512" width="9" style="165"/>
    <col min="513" max="513" width="13.875" style="165" bestFit="1" customWidth="1"/>
    <col min="514" max="514" width="9" style="165"/>
    <col min="515" max="516" width="11.375" style="165" customWidth="1"/>
    <col min="517" max="517" width="11.75" style="165" bestFit="1" customWidth="1"/>
    <col min="518" max="521" width="10.875" style="165" bestFit="1" customWidth="1"/>
    <col min="522" max="522" width="11.25" style="165" bestFit="1" customWidth="1"/>
    <col min="523" max="523" width="10.875" style="165" customWidth="1"/>
    <col min="524" max="526" width="10" style="165" customWidth="1"/>
    <col min="527" max="527" width="13.625" style="165" bestFit="1" customWidth="1"/>
    <col min="528" max="768" width="9" style="165"/>
    <col min="769" max="769" width="13.875" style="165" bestFit="1" customWidth="1"/>
    <col min="770" max="770" width="9" style="165"/>
    <col min="771" max="772" width="11.375" style="165" customWidth="1"/>
    <col min="773" max="773" width="11.75" style="165" bestFit="1" customWidth="1"/>
    <col min="774" max="777" width="10.875" style="165" bestFit="1" customWidth="1"/>
    <col min="778" max="778" width="11.25" style="165" bestFit="1" customWidth="1"/>
    <col min="779" max="779" width="10.875" style="165" customWidth="1"/>
    <col min="780" max="782" width="10" style="165" customWidth="1"/>
    <col min="783" max="783" width="13.625" style="165" bestFit="1" customWidth="1"/>
    <col min="784" max="1024" width="9" style="165"/>
    <col min="1025" max="1025" width="13.875" style="165" bestFit="1" customWidth="1"/>
    <col min="1026" max="1026" width="9" style="165"/>
    <col min="1027" max="1028" width="11.375" style="165" customWidth="1"/>
    <col min="1029" max="1029" width="11.75" style="165" bestFit="1" customWidth="1"/>
    <col min="1030" max="1033" width="10.875" style="165" bestFit="1" customWidth="1"/>
    <col min="1034" max="1034" width="11.25" style="165" bestFit="1" customWidth="1"/>
    <col min="1035" max="1035" width="10.875" style="165" customWidth="1"/>
    <col min="1036" max="1038" width="10" style="165" customWidth="1"/>
    <col min="1039" max="1039" width="13.625" style="165" bestFit="1" customWidth="1"/>
    <col min="1040" max="1280" width="9" style="165"/>
    <col min="1281" max="1281" width="13.875" style="165" bestFit="1" customWidth="1"/>
    <col min="1282" max="1282" width="9" style="165"/>
    <col min="1283" max="1284" width="11.375" style="165" customWidth="1"/>
    <col min="1285" max="1285" width="11.75" style="165" bestFit="1" customWidth="1"/>
    <col min="1286" max="1289" width="10.875" style="165" bestFit="1" customWidth="1"/>
    <col min="1290" max="1290" width="11.25" style="165" bestFit="1" customWidth="1"/>
    <col min="1291" max="1291" width="10.875" style="165" customWidth="1"/>
    <col min="1292" max="1294" width="10" style="165" customWidth="1"/>
    <col min="1295" max="1295" width="13.625" style="165" bestFit="1" customWidth="1"/>
    <col min="1296" max="1536" width="9" style="165"/>
    <col min="1537" max="1537" width="13.875" style="165" bestFit="1" customWidth="1"/>
    <col min="1538" max="1538" width="9" style="165"/>
    <col min="1539" max="1540" width="11.375" style="165" customWidth="1"/>
    <col min="1541" max="1541" width="11.75" style="165" bestFit="1" customWidth="1"/>
    <col min="1542" max="1545" width="10.875" style="165" bestFit="1" customWidth="1"/>
    <col min="1546" max="1546" width="11.25" style="165" bestFit="1" customWidth="1"/>
    <col min="1547" max="1547" width="10.875" style="165" customWidth="1"/>
    <col min="1548" max="1550" width="10" style="165" customWidth="1"/>
    <col min="1551" max="1551" width="13.625" style="165" bestFit="1" customWidth="1"/>
    <col min="1552" max="1792" width="9" style="165"/>
    <col min="1793" max="1793" width="13.875" style="165" bestFit="1" customWidth="1"/>
    <col min="1794" max="1794" width="9" style="165"/>
    <col min="1795" max="1796" width="11.375" style="165" customWidth="1"/>
    <col min="1797" max="1797" width="11.75" style="165" bestFit="1" customWidth="1"/>
    <col min="1798" max="1801" width="10.875" style="165" bestFit="1" customWidth="1"/>
    <col min="1802" max="1802" width="11.25" style="165" bestFit="1" customWidth="1"/>
    <col min="1803" max="1803" width="10.875" style="165" customWidth="1"/>
    <col min="1804" max="1806" width="10" style="165" customWidth="1"/>
    <col min="1807" max="1807" width="13.625" style="165" bestFit="1" customWidth="1"/>
    <col min="1808" max="2048" width="9" style="165"/>
    <col min="2049" max="2049" width="13.875" style="165" bestFit="1" customWidth="1"/>
    <col min="2050" max="2050" width="9" style="165"/>
    <col min="2051" max="2052" width="11.375" style="165" customWidth="1"/>
    <col min="2053" max="2053" width="11.75" style="165" bestFit="1" customWidth="1"/>
    <col min="2054" max="2057" width="10.875" style="165" bestFit="1" customWidth="1"/>
    <col min="2058" max="2058" width="11.25" style="165" bestFit="1" customWidth="1"/>
    <col min="2059" max="2059" width="10.875" style="165" customWidth="1"/>
    <col min="2060" max="2062" width="10" style="165" customWidth="1"/>
    <col min="2063" max="2063" width="13.625" style="165" bestFit="1" customWidth="1"/>
    <col min="2064" max="2304" width="9" style="165"/>
    <col min="2305" max="2305" width="13.875" style="165" bestFit="1" customWidth="1"/>
    <col min="2306" max="2306" width="9" style="165"/>
    <col min="2307" max="2308" width="11.375" style="165" customWidth="1"/>
    <col min="2309" max="2309" width="11.75" style="165" bestFit="1" customWidth="1"/>
    <col min="2310" max="2313" width="10.875" style="165" bestFit="1" customWidth="1"/>
    <col min="2314" max="2314" width="11.25" style="165" bestFit="1" customWidth="1"/>
    <col min="2315" max="2315" width="10.875" style="165" customWidth="1"/>
    <col min="2316" max="2318" width="10" style="165" customWidth="1"/>
    <col min="2319" max="2319" width="13.625" style="165" bestFit="1" customWidth="1"/>
    <col min="2320" max="2560" width="9" style="165"/>
    <col min="2561" max="2561" width="13.875" style="165" bestFit="1" customWidth="1"/>
    <col min="2562" max="2562" width="9" style="165"/>
    <col min="2563" max="2564" width="11.375" style="165" customWidth="1"/>
    <col min="2565" max="2565" width="11.75" style="165" bestFit="1" customWidth="1"/>
    <col min="2566" max="2569" width="10.875" style="165" bestFit="1" customWidth="1"/>
    <col min="2570" max="2570" width="11.25" style="165" bestFit="1" customWidth="1"/>
    <col min="2571" max="2571" width="10.875" style="165" customWidth="1"/>
    <col min="2572" max="2574" width="10" style="165" customWidth="1"/>
    <col min="2575" max="2575" width="13.625" style="165" bestFit="1" customWidth="1"/>
    <col min="2576" max="2816" width="9" style="165"/>
    <col min="2817" max="2817" width="13.875" style="165" bestFit="1" customWidth="1"/>
    <col min="2818" max="2818" width="9" style="165"/>
    <col min="2819" max="2820" width="11.375" style="165" customWidth="1"/>
    <col min="2821" max="2821" width="11.75" style="165" bestFit="1" customWidth="1"/>
    <col min="2822" max="2825" width="10.875" style="165" bestFit="1" customWidth="1"/>
    <col min="2826" max="2826" width="11.25" style="165" bestFit="1" customWidth="1"/>
    <col min="2827" max="2827" width="10.875" style="165" customWidth="1"/>
    <col min="2828" max="2830" width="10" style="165" customWidth="1"/>
    <col min="2831" max="2831" width="13.625" style="165" bestFit="1" customWidth="1"/>
    <col min="2832" max="3072" width="9" style="165"/>
    <col min="3073" max="3073" width="13.875" style="165" bestFit="1" customWidth="1"/>
    <col min="3074" max="3074" width="9" style="165"/>
    <col min="3075" max="3076" width="11.375" style="165" customWidth="1"/>
    <col min="3077" max="3077" width="11.75" style="165" bestFit="1" customWidth="1"/>
    <col min="3078" max="3081" width="10.875" style="165" bestFit="1" customWidth="1"/>
    <col min="3082" max="3082" width="11.25" style="165" bestFit="1" customWidth="1"/>
    <col min="3083" max="3083" width="10.875" style="165" customWidth="1"/>
    <col min="3084" max="3086" width="10" style="165" customWidth="1"/>
    <col min="3087" max="3087" width="13.625" style="165" bestFit="1" customWidth="1"/>
    <col min="3088" max="3328" width="9" style="165"/>
    <col min="3329" max="3329" width="13.875" style="165" bestFit="1" customWidth="1"/>
    <col min="3330" max="3330" width="9" style="165"/>
    <col min="3331" max="3332" width="11.375" style="165" customWidth="1"/>
    <col min="3333" max="3333" width="11.75" style="165" bestFit="1" customWidth="1"/>
    <col min="3334" max="3337" width="10.875" style="165" bestFit="1" customWidth="1"/>
    <col min="3338" max="3338" width="11.25" style="165" bestFit="1" customWidth="1"/>
    <col min="3339" max="3339" width="10.875" style="165" customWidth="1"/>
    <col min="3340" max="3342" width="10" style="165" customWidth="1"/>
    <col min="3343" max="3343" width="13.625" style="165" bestFit="1" customWidth="1"/>
    <col min="3344" max="3584" width="9" style="165"/>
    <col min="3585" max="3585" width="13.875" style="165" bestFit="1" customWidth="1"/>
    <col min="3586" max="3586" width="9" style="165"/>
    <col min="3587" max="3588" width="11.375" style="165" customWidth="1"/>
    <col min="3589" max="3589" width="11.75" style="165" bestFit="1" customWidth="1"/>
    <col min="3590" max="3593" width="10.875" style="165" bestFit="1" customWidth="1"/>
    <col min="3594" max="3594" width="11.25" style="165" bestFit="1" customWidth="1"/>
    <col min="3595" max="3595" width="10.875" style="165" customWidth="1"/>
    <col min="3596" max="3598" width="10" style="165" customWidth="1"/>
    <col min="3599" max="3599" width="13.625" style="165" bestFit="1" customWidth="1"/>
    <col min="3600" max="3840" width="9" style="165"/>
    <col min="3841" max="3841" width="13.875" style="165" bestFit="1" customWidth="1"/>
    <col min="3842" max="3842" width="9" style="165"/>
    <col min="3843" max="3844" width="11.375" style="165" customWidth="1"/>
    <col min="3845" max="3845" width="11.75" style="165" bestFit="1" customWidth="1"/>
    <col min="3846" max="3849" width="10.875" style="165" bestFit="1" customWidth="1"/>
    <col min="3850" max="3850" width="11.25" style="165" bestFit="1" customWidth="1"/>
    <col min="3851" max="3851" width="10.875" style="165" customWidth="1"/>
    <col min="3852" max="3854" width="10" style="165" customWidth="1"/>
    <col min="3855" max="3855" width="13.625" style="165" bestFit="1" customWidth="1"/>
    <col min="3856" max="4096" width="9" style="165"/>
    <col min="4097" max="4097" width="13.875" style="165" bestFit="1" customWidth="1"/>
    <col min="4098" max="4098" width="9" style="165"/>
    <col min="4099" max="4100" width="11.375" style="165" customWidth="1"/>
    <col min="4101" max="4101" width="11.75" style="165" bestFit="1" customWidth="1"/>
    <col min="4102" max="4105" width="10.875" style="165" bestFit="1" customWidth="1"/>
    <col min="4106" max="4106" width="11.25" style="165" bestFit="1" customWidth="1"/>
    <col min="4107" max="4107" width="10.875" style="165" customWidth="1"/>
    <col min="4108" max="4110" width="10" style="165" customWidth="1"/>
    <col min="4111" max="4111" width="13.625" style="165" bestFit="1" customWidth="1"/>
    <col min="4112" max="4352" width="9" style="165"/>
    <col min="4353" max="4353" width="13.875" style="165" bestFit="1" customWidth="1"/>
    <col min="4354" max="4354" width="9" style="165"/>
    <col min="4355" max="4356" width="11.375" style="165" customWidth="1"/>
    <col min="4357" max="4357" width="11.75" style="165" bestFit="1" customWidth="1"/>
    <col min="4358" max="4361" width="10.875" style="165" bestFit="1" customWidth="1"/>
    <col min="4362" max="4362" width="11.25" style="165" bestFit="1" customWidth="1"/>
    <col min="4363" max="4363" width="10.875" style="165" customWidth="1"/>
    <col min="4364" max="4366" width="10" style="165" customWidth="1"/>
    <col min="4367" max="4367" width="13.625" style="165" bestFit="1" customWidth="1"/>
    <col min="4368" max="4608" width="9" style="165"/>
    <col min="4609" max="4609" width="13.875" style="165" bestFit="1" customWidth="1"/>
    <col min="4610" max="4610" width="9" style="165"/>
    <col min="4611" max="4612" width="11.375" style="165" customWidth="1"/>
    <col min="4613" max="4613" width="11.75" style="165" bestFit="1" customWidth="1"/>
    <col min="4614" max="4617" width="10.875" style="165" bestFit="1" customWidth="1"/>
    <col min="4618" max="4618" width="11.25" style="165" bestFit="1" customWidth="1"/>
    <col min="4619" max="4619" width="10.875" style="165" customWidth="1"/>
    <col min="4620" max="4622" width="10" style="165" customWidth="1"/>
    <col min="4623" max="4623" width="13.625" style="165" bestFit="1" customWidth="1"/>
    <col min="4624" max="4864" width="9" style="165"/>
    <col min="4865" max="4865" width="13.875" style="165" bestFit="1" customWidth="1"/>
    <col min="4866" max="4866" width="9" style="165"/>
    <col min="4867" max="4868" width="11.375" style="165" customWidth="1"/>
    <col min="4869" max="4869" width="11.75" style="165" bestFit="1" customWidth="1"/>
    <col min="4870" max="4873" width="10.875" style="165" bestFit="1" customWidth="1"/>
    <col min="4874" max="4874" width="11.25" style="165" bestFit="1" customWidth="1"/>
    <col min="4875" max="4875" width="10.875" style="165" customWidth="1"/>
    <col min="4876" max="4878" width="10" style="165" customWidth="1"/>
    <col min="4879" max="4879" width="13.625" style="165" bestFit="1" customWidth="1"/>
    <col min="4880" max="5120" width="9" style="165"/>
    <col min="5121" max="5121" width="13.875" style="165" bestFit="1" customWidth="1"/>
    <col min="5122" max="5122" width="9" style="165"/>
    <col min="5123" max="5124" width="11.375" style="165" customWidth="1"/>
    <col min="5125" max="5125" width="11.75" style="165" bestFit="1" customWidth="1"/>
    <col min="5126" max="5129" width="10.875" style="165" bestFit="1" customWidth="1"/>
    <col min="5130" max="5130" width="11.25" style="165" bestFit="1" customWidth="1"/>
    <col min="5131" max="5131" width="10.875" style="165" customWidth="1"/>
    <col min="5132" max="5134" width="10" style="165" customWidth="1"/>
    <col min="5135" max="5135" width="13.625" style="165" bestFit="1" customWidth="1"/>
    <col min="5136" max="5376" width="9" style="165"/>
    <col min="5377" max="5377" width="13.875" style="165" bestFit="1" customWidth="1"/>
    <col min="5378" max="5378" width="9" style="165"/>
    <col min="5379" max="5380" width="11.375" style="165" customWidth="1"/>
    <col min="5381" max="5381" width="11.75" style="165" bestFit="1" customWidth="1"/>
    <col min="5382" max="5385" width="10.875" style="165" bestFit="1" customWidth="1"/>
    <col min="5386" max="5386" width="11.25" style="165" bestFit="1" customWidth="1"/>
    <col min="5387" max="5387" width="10.875" style="165" customWidth="1"/>
    <col min="5388" max="5390" width="10" style="165" customWidth="1"/>
    <col min="5391" max="5391" width="13.625" style="165" bestFit="1" customWidth="1"/>
    <col min="5392" max="5632" width="9" style="165"/>
    <col min="5633" max="5633" width="13.875" style="165" bestFit="1" customWidth="1"/>
    <col min="5634" max="5634" width="9" style="165"/>
    <col min="5635" max="5636" width="11.375" style="165" customWidth="1"/>
    <col min="5637" max="5637" width="11.75" style="165" bestFit="1" customWidth="1"/>
    <col min="5638" max="5641" width="10.875" style="165" bestFit="1" customWidth="1"/>
    <col min="5642" max="5642" width="11.25" style="165" bestFit="1" customWidth="1"/>
    <col min="5643" max="5643" width="10.875" style="165" customWidth="1"/>
    <col min="5644" max="5646" width="10" style="165" customWidth="1"/>
    <col min="5647" max="5647" width="13.625" style="165" bestFit="1" customWidth="1"/>
    <col min="5648" max="5888" width="9" style="165"/>
    <col min="5889" max="5889" width="13.875" style="165" bestFit="1" customWidth="1"/>
    <col min="5890" max="5890" width="9" style="165"/>
    <col min="5891" max="5892" width="11.375" style="165" customWidth="1"/>
    <col min="5893" max="5893" width="11.75" style="165" bestFit="1" customWidth="1"/>
    <col min="5894" max="5897" width="10.875" style="165" bestFit="1" customWidth="1"/>
    <col min="5898" max="5898" width="11.25" style="165" bestFit="1" customWidth="1"/>
    <col min="5899" max="5899" width="10.875" style="165" customWidth="1"/>
    <col min="5900" max="5902" width="10" style="165" customWidth="1"/>
    <col min="5903" max="5903" width="13.625" style="165" bestFit="1" customWidth="1"/>
    <col min="5904" max="6144" width="9" style="165"/>
    <col min="6145" max="6145" width="13.875" style="165" bestFit="1" customWidth="1"/>
    <col min="6146" max="6146" width="9" style="165"/>
    <col min="6147" max="6148" width="11.375" style="165" customWidth="1"/>
    <col min="6149" max="6149" width="11.75" style="165" bestFit="1" customWidth="1"/>
    <col min="6150" max="6153" width="10.875" style="165" bestFit="1" customWidth="1"/>
    <col min="6154" max="6154" width="11.25" style="165" bestFit="1" customWidth="1"/>
    <col min="6155" max="6155" width="10.875" style="165" customWidth="1"/>
    <col min="6156" max="6158" width="10" style="165" customWidth="1"/>
    <col min="6159" max="6159" width="13.625" style="165" bestFit="1" customWidth="1"/>
    <col min="6160" max="6400" width="9" style="165"/>
    <col min="6401" max="6401" width="13.875" style="165" bestFit="1" customWidth="1"/>
    <col min="6402" max="6402" width="9" style="165"/>
    <col min="6403" max="6404" width="11.375" style="165" customWidth="1"/>
    <col min="6405" max="6405" width="11.75" style="165" bestFit="1" customWidth="1"/>
    <col min="6406" max="6409" width="10.875" style="165" bestFit="1" customWidth="1"/>
    <col min="6410" max="6410" width="11.25" style="165" bestFit="1" customWidth="1"/>
    <col min="6411" max="6411" width="10.875" style="165" customWidth="1"/>
    <col min="6412" max="6414" width="10" style="165" customWidth="1"/>
    <col min="6415" max="6415" width="13.625" style="165" bestFit="1" customWidth="1"/>
    <col min="6416" max="6656" width="9" style="165"/>
    <col min="6657" max="6657" width="13.875" style="165" bestFit="1" customWidth="1"/>
    <col min="6658" max="6658" width="9" style="165"/>
    <col min="6659" max="6660" width="11.375" style="165" customWidth="1"/>
    <col min="6661" max="6661" width="11.75" style="165" bestFit="1" customWidth="1"/>
    <col min="6662" max="6665" width="10.875" style="165" bestFit="1" customWidth="1"/>
    <col min="6666" max="6666" width="11.25" style="165" bestFit="1" customWidth="1"/>
    <col min="6667" max="6667" width="10.875" style="165" customWidth="1"/>
    <col min="6668" max="6670" width="10" style="165" customWidth="1"/>
    <col min="6671" max="6671" width="13.625" style="165" bestFit="1" customWidth="1"/>
    <col min="6672" max="6912" width="9" style="165"/>
    <col min="6913" max="6913" width="13.875" style="165" bestFit="1" customWidth="1"/>
    <col min="6914" max="6914" width="9" style="165"/>
    <col min="6915" max="6916" width="11.375" style="165" customWidth="1"/>
    <col min="6917" max="6917" width="11.75" style="165" bestFit="1" customWidth="1"/>
    <col min="6918" max="6921" width="10.875" style="165" bestFit="1" customWidth="1"/>
    <col min="6922" max="6922" width="11.25" style="165" bestFit="1" customWidth="1"/>
    <col min="6923" max="6923" width="10.875" style="165" customWidth="1"/>
    <col min="6924" max="6926" width="10" style="165" customWidth="1"/>
    <col min="6927" max="6927" width="13.625" style="165" bestFit="1" customWidth="1"/>
    <col min="6928" max="7168" width="9" style="165"/>
    <col min="7169" max="7169" width="13.875" style="165" bestFit="1" customWidth="1"/>
    <col min="7170" max="7170" width="9" style="165"/>
    <col min="7171" max="7172" width="11.375" style="165" customWidth="1"/>
    <col min="7173" max="7173" width="11.75" style="165" bestFit="1" customWidth="1"/>
    <col min="7174" max="7177" width="10.875" style="165" bestFit="1" customWidth="1"/>
    <col min="7178" max="7178" width="11.25" style="165" bestFit="1" customWidth="1"/>
    <col min="7179" max="7179" width="10.875" style="165" customWidth="1"/>
    <col min="7180" max="7182" width="10" style="165" customWidth="1"/>
    <col min="7183" max="7183" width="13.625" style="165" bestFit="1" customWidth="1"/>
    <col min="7184" max="7424" width="9" style="165"/>
    <col min="7425" max="7425" width="13.875" style="165" bestFit="1" customWidth="1"/>
    <col min="7426" max="7426" width="9" style="165"/>
    <col min="7427" max="7428" width="11.375" style="165" customWidth="1"/>
    <col min="7429" max="7429" width="11.75" style="165" bestFit="1" customWidth="1"/>
    <col min="7430" max="7433" width="10.875" style="165" bestFit="1" customWidth="1"/>
    <col min="7434" max="7434" width="11.25" style="165" bestFit="1" customWidth="1"/>
    <col min="7435" max="7435" width="10.875" style="165" customWidth="1"/>
    <col min="7436" max="7438" width="10" style="165" customWidth="1"/>
    <col min="7439" max="7439" width="13.625" style="165" bestFit="1" customWidth="1"/>
    <col min="7440" max="7680" width="9" style="165"/>
    <col min="7681" max="7681" width="13.875" style="165" bestFit="1" customWidth="1"/>
    <col min="7682" max="7682" width="9" style="165"/>
    <col min="7683" max="7684" width="11.375" style="165" customWidth="1"/>
    <col min="7685" max="7685" width="11.75" style="165" bestFit="1" customWidth="1"/>
    <col min="7686" max="7689" width="10.875" style="165" bestFit="1" customWidth="1"/>
    <col min="7690" max="7690" width="11.25" style="165" bestFit="1" customWidth="1"/>
    <col min="7691" max="7691" width="10.875" style="165" customWidth="1"/>
    <col min="7692" max="7694" width="10" style="165" customWidth="1"/>
    <col min="7695" max="7695" width="13.625" style="165" bestFit="1" customWidth="1"/>
    <col min="7696" max="7936" width="9" style="165"/>
    <col min="7937" max="7937" width="13.875" style="165" bestFit="1" customWidth="1"/>
    <col min="7938" max="7938" width="9" style="165"/>
    <col min="7939" max="7940" width="11.375" style="165" customWidth="1"/>
    <col min="7941" max="7941" width="11.75" style="165" bestFit="1" customWidth="1"/>
    <col min="7942" max="7945" width="10.875" style="165" bestFit="1" customWidth="1"/>
    <col min="7946" max="7946" width="11.25" style="165" bestFit="1" customWidth="1"/>
    <col min="7947" max="7947" width="10.875" style="165" customWidth="1"/>
    <col min="7948" max="7950" width="10" style="165" customWidth="1"/>
    <col min="7951" max="7951" width="13.625" style="165" bestFit="1" customWidth="1"/>
    <col min="7952" max="8192" width="9" style="165"/>
    <col min="8193" max="8193" width="13.875" style="165" bestFit="1" customWidth="1"/>
    <col min="8194" max="8194" width="9" style="165"/>
    <col min="8195" max="8196" width="11.375" style="165" customWidth="1"/>
    <col min="8197" max="8197" width="11.75" style="165" bestFit="1" customWidth="1"/>
    <col min="8198" max="8201" width="10.875" style="165" bestFit="1" customWidth="1"/>
    <col min="8202" max="8202" width="11.25" style="165" bestFit="1" customWidth="1"/>
    <col min="8203" max="8203" width="10.875" style="165" customWidth="1"/>
    <col min="8204" max="8206" width="10" style="165" customWidth="1"/>
    <col min="8207" max="8207" width="13.625" style="165" bestFit="1" customWidth="1"/>
    <col min="8208" max="8448" width="9" style="165"/>
    <col min="8449" max="8449" width="13.875" style="165" bestFit="1" customWidth="1"/>
    <col min="8450" max="8450" width="9" style="165"/>
    <col min="8451" max="8452" width="11.375" style="165" customWidth="1"/>
    <col min="8453" max="8453" width="11.75" style="165" bestFit="1" customWidth="1"/>
    <col min="8454" max="8457" width="10.875" style="165" bestFit="1" customWidth="1"/>
    <col min="8458" max="8458" width="11.25" style="165" bestFit="1" customWidth="1"/>
    <col min="8459" max="8459" width="10.875" style="165" customWidth="1"/>
    <col min="8460" max="8462" width="10" style="165" customWidth="1"/>
    <col min="8463" max="8463" width="13.625" style="165" bestFit="1" customWidth="1"/>
    <col min="8464" max="8704" width="9" style="165"/>
    <col min="8705" max="8705" width="13.875" style="165" bestFit="1" customWidth="1"/>
    <col min="8706" max="8706" width="9" style="165"/>
    <col min="8707" max="8708" width="11.375" style="165" customWidth="1"/>
    <col min="8709" max="8709" width="11.75" style="165" bestFit="1" customWidth="1"/>
    <col min="8710" max="8713" width="10.875" style="165" bestFit="1" customWidth="1"/>
    <col min="8714" max="8714" width="11.25" style="165" bestFit="1" customWidth="1"/>
    <col min="8715" max="8715" width="10.875" style="165" customWidth="1"/>
    <col min="8716" max="8718" width="10" style="165" customWidth="1"/>
    <col min="8719" max="8719" width="13.625" style="165" bestFit="1" customWidth="1"/>
    <col min="8720" max="8960" width="9" style="165"/>
    <col min="8961" max="8961" width="13.875" style="165" bestFit="1" customWidth="1"/>
    <col min="8962" max="8962" width="9" style="165"/>
    <col min="8963" max="8964" width="11.375" style="165" customWidth="1"/>
    <col min="8965" max="8965" width="11.75" style="165" bestFit="1" customWidth="1"/>
    <col min="8966" max="8969" width="10.875" style="165" bestFit="1" customWidth="1"/>
    <col min="8970" max="8970" width="11.25" style="165" bestFit="1" customWidth="1"/>
    <col min="8971" max="8971" width="10.875" style="165" customWidth="1"/>
    <col min="8972" max="8974" width="10" style="165" customWidth="1"/>
    <col min="8975" max="8975" width="13.625" style="165" bestFit="1" customWidth="1"/>
    <col min="8976" max="9216" width="9" style="165"/>
    <col min="9217" max="9217" width="13.875" style="165" bestFit="1" customWidth="1"/>
    <col min="9218" max="9218" width="9" style="165"/>
    <col min="9219" max="9220" width="11.375" style="165" customWidth="1"/>
    <col min="9221" max="9221" width="11.75" style="165" bestFit="1" customWidth="1"/>
    <col min="9222" max="9225" width="10.875" style="165" bestFit="1" customWidth="1"/>
    <col min="9226" max="9226" width="11.25" style="165" bestFit="1" customWidth="1"/>
    <col min="9227" max="9227" width="10.875" style="165" customWidth="1"/>
    <col min="9228" max="9230" width="10" style="165" customWidth="1"/>
    <col min="9231" max="9231" width="13.625" style="165" bestFit="1" customWidth="1"/>
    <col min="9232" max="9472" width="9" style="165"/>
    <col min="9473" max="9473" width="13.875" style="165" bestFit="1" customWidth="1"/>
    <col min="9474" max="9474" width="9" style="165"/>
    <col min="9475" max="9476" width="11.375" style="165" customWidth="1"/>
    <col min="9477" max="9477" width="11.75" style="165" bestFit="1" customWidth="1"/>
    <col min="9478" max="9481" width="10.875" style="165" bestFit="1" customWidth="1"/>
    <col min="9482" max="9482" width="11.25" style="165" bestFit="1" customWidth="1"/>
    <col min="9483" max="9483" width="10.875" style="165" customWidth="1"/>
    <col min="9484" max="9486" width="10" style="165" customWidth="1"/>
    <col min="9487" max="9487" width="13.625" style="165" bestFit="1" customWidth="1"/>
    <col min="9488" max="9728" width="9" style="165"/>
    <col min="9729" max="9729" width="13.875" style="165" bestFit="1" customWidth="1"/>
    <col min="9730" max="9730" width="9" style="165"/>
    <col min="9731" max="9732" width="11.375" style="165" customWidth="1"/>
    <col min="9733" max="9733" width="11.75" style="165" bestFit="1" customWidth="1"/>
    <col min="9734" max="9737" width="10.875" style="165" bestFit="1" customWidth="1"/>
    <col min="9738" max="9738" width="11.25" style="165" bestFit="1" customWidth="1"/>
    <col min="9739" max="9739" width="10.875" style="165" customWidth="1"/>
    <col min="9740" max="9742" width="10" style="165" customWidth="1"/>
    <col min="9743" max="9743" width="13.625" style="165" bestFit="1" customWidth="1"/>
    <col min="9744" max="9984" width="9" style="165"/>
    <col min="9985" max="9985" width="13.875" style="165" bestFit="1" customWidth="1"/>
    <col min="9986" max="9986" width="9" style="165"/>
    <col min="9987" max="9988" width="11.375" style="165" customWidth="1"/>
    <col min="9989" max="9989" width="11.75" style="165" bestFit="1" customWidth="1"/>
    <col min="9990" max="9993" width="10.875" style="165" bestFit="1" customWidth="1"/>
    <col min="9994" max="9994" width="11.25" style="165" bestFit="1" customWidth="1"/>
    <col min="9995" max="9995" width="10.875" style="165" customWidth="1"/>
    <col min="9996" max="9998" width="10" style="165" customWidth="1"/>
    <col min="9999" max="9999" width="13.625" style="165" bestFit="1" customWidth="1"/>
    <col min="10000" max="10240" width="9" style="165"/>
    <col min="10241" max="10241" width="13.875" style="165" bestFit="1" customWidth="1"/>
    <col min="10242" max="10242" width="9" style="165"/>
    <col min="10243" max="10244" width="11.375" style="165" customWidth="1"/>
    <col min="10245" max="10245" width="11.75" style="165" bestFit="1" customWidth="1"/>
    <col min="10246" max="10249" width="10.875" style="165" bestFit="1" customWidth="1"/>
    <col min="10250" max="10250" width="11.25" style="165" bestFit="1" customWidth="1"/>
    <col min="10251" max="10251" width="10.875" style="165" customWidth="1"/>
    <col min="10252" max="10254" width="10" style="165" customWidth="1"/>
    <col min="10255" max="10255" width="13.625" style="165" bestFit="1" customWidth="1"/>
    <col min="10256" max="10496" width="9" style="165"/>
    <col min="10497" max="10497" width="13.875" style="165" bestFit="1" customWidth="1"/>
    <col min="10498" max="10498" width="9" style="165"/>
    <col min="10499" max="10500" width="11.375" style="165" customWidth="1"/>
    <col min="10501" max="10501" width="11.75" style="165" bestFit="1" customWidth="1"/>
    <col min="10502" max="10505" width="10.875" style="165" bestFit="1" customWidth="1"/>
    <col min="10506" max="10506" width="11.25" style="165" bestFit="1" customWidth="1"/>
    <col min="10507" max="10507" width="10.875" style="165" customWidth="1"/>
    <col min="10508" max="10510" width="10" style="165" customWidth="1"/>
    <col min="10511" max="10511" width="13.625" style="165" bestFit="1" customWidth="1"/>
    <col min="10512" max="10752" width="9" style="165"/>
    <col min="10753" max="10753" width="13.875" style="165" bestFit="1" customWidth="1"/>
    <col min="10754" max="10754" width="9" style="165"/>
    <col min="10755" max="10756" width="11.375" style="165" customWidth="1"/>
    <col min="10757" max="10757" width="11.75" style="165" bestFit="1" customWidth="1"/>
    <col min="10758" max="10761" width="10.875" style="165" bestFit="1" customWidth="1"/>
    <col min="10762" max="10762" width="11.25" style="165" bestFit="1" customWidth="1"/>
    <col min="10763" max="10763" width="10.875" style="165" customWidth="1"/>
    <col min="10764" max="10766" width="10" style="165" customWidth="1"/>
    <col min="10767" max="10767" width="13.625" style="165" bestFit="1" customWidth="1"/>
    <col min="10768" max="11008" width="9" style="165"/>
    <col min="11009" max="11009" width="13.875" style="165" bestFit="1" customWidth="1"/>
    <col min="11010" max="11010" width="9" style="165"/>
    <col min="11011" max="11012" width="11.375" style="165" customWidth="1"/>
    <col min="11013" max="11013" width="11.75" style="165" bestFit="1" customWidth="1"/>
    <col min="11014" max="11017" width="10.875" style="165" bestFit="1" customWidth="1"/>
    <col min="11018" max="11018" width="11.25" style="165" bestFit="1" customWidth="1"/>
    <col min="11019" max="11019" width="10.875" style="165" customWidth="1"/>
    <col min="11020" max="11022" width="10" style="165" customWidth="1"/>
    <col min="11023" max="11023" width="13.625" style="165" bestFit="1" customWidth="1"/>
    <col min="11024" max="11264" width="9" style="165"/>
    <col min="11265" max="11265" width="13.875" style="165" bestFit="1" customWidth="1"/>
    <col min="11266" max="11266" width="9" style="165"/>
    <col min="11267" max="11268" width="11.375" style="165" customWidth="1"/>
    <col min="11269" max="11269" width="11.75" style="165" bestFit="1" customWidth="1"/>
    <col min="11270" max="11273" width="10.875" style="165" bestFit="1" customWidth="1"/>
    <col min="11274" max="11274" width="11.25" style="165" bestFit="1" customWidth="1"/>
    <col min="11275" max="11275" width="10.875" style="165" customWidth="1"/>
    <col min="11276" max="11278" width="10" style="165" customWidth="1"/>
    <col min="11279" max="11279" width="13.625" style="165" bestFit="1" customWidth="1"/>
    <col min="11280" max="11520" width="9" style="165"/>
    <col min="11521" max="11521" width="13.875" style="165" bestFit="1" customWidth="1"/>
    <col min="11522" max="11522" width="9" style="165"/>
    <col min="11523" max="11524" width="11.375" style="165" customWidth="1"/>
    <col min="11525" max="11525" width="11.75" style="165" bestFit="1" customWidth="1"/>
    <col min="11526" max="11529" width="10.875" style="165" bestFit="1" customWidth="1"/>
    <col min="11530" max="11530" width="11.25" style="165" bestFit="1" customWidth="1"/>
    <col min="11531" max="11531" width="10.875" style="165" customWidth="1"/>
    <col min="11532" max="11534" width="10" style="165" customWidth="1"/>
    <col min="11535" max="11535" width="13.625" style="165" bestFit="1" customWidth="1"/>
    <col min="11536" max="11776" width="9" style="165"/>
    <col min="11777" max="11777" width="13.875" style="165" bestFit="1" customWidth="1"/>
    <col min="11778" max="11778" width="9" style="165"/>
    <col min="11779" max="11780" width="11.375" style="165" customWidth="1"/>
    <col min="11781" max="11781" width="11.75" style="165" bestFit="1" customWidth="1"/>
    <col min="11782" max="11785" width="10.875" style="165" bestFit="1" customWidth="1"/>
    <col min="11786" max="11786" width="11.25" style="165" bestFit="1" customWidth="1"/>
    <col min="11787" max="11787" width="10.875" style="165" customWidth="1"/>
    <col min="11788" max="11790" width="10" style="165" customWidth="1"/>
    <col min="11791" max="11791" width="13.625" style="165" bestFit="1" customWidth="1"/>
    <col min="11792" max="12032" width="9" style="165"/>
    <col min="12033" max="12033" width="13.875" style="165" bestFit="1" customWidth="1"/>
    <col min="12034" max="12034" width="9" style="165"/>
    <col min="12035" max="12036" width="11.375" style="165" customWidth="1"/>
    <col min="12037" max="12037" width="11.75" style="165" bestFit="1" customWidth="1"/>
    <col min="12038" max="12041" width="10.875" style="165" bestFit="1" customWidth="1"/>
    <col min="12042" max="12042" width="11.25" style="165" bestFit="1" customWidth="1"/>
    <col min="12043" max="12043" width="10.875" style="165" customWidth="1"/>
    <col min="12044" max="12046" width="10" style="165" customWidth="1"/>
    <col min="12047" max="12047" width="13.625" style="165" bestFit="1" customWidth="1"/>
    <col min="12048" max="12288" width="9" style="165"/>
    <col min="12289" max="12289" width="13.875" style="165" bestFit="1" customWidth="1"/>
    <col min="12290" max="12290" width="9" style="165"/>
    <col min="12291" max="12292" width="11.375" style="165" customWidth="1"/>
    <col min="12293" max="12293" width="11.75" style="165" bestFit="1" customWidth="1"/>
    <col min="12294" max="12297" width="10.875" style="165" bestFit="1" customWidth="1"/>
    <col min="12298" max="12298" width="11.25" style="165" bestFit="1" customWidth="1"/>
    <col min="12299" max="12299" width="10.875" style="165" customWidth="1"/>
    <col min="12300" max="12302" width="10" style="165" customWidth="1"/>
    <col min="12303" max="12303" width="13.625" style="165" bestFit="1" customWidth="1"/>
    <col min="12304" max="12544" width="9" style="165"/>
    <col min="12545" max="12545" width="13.875" style="165" bestFit="1" customWidth="1"/>
    <col min="12546" max="12546" width="9" style="165"/>
    <col min="12547" max="12548" width="11.375" style="165" customWidth="1"/>
    <col min="12549" max="12549" width="11.75" style="165" bestFit="1" customWidth="1"/>
    <col min="12550" max="12553" width="10.875" style="165" bestFit="1" customWidth="1"/>
    <col min="12554" max="12554" width="11.25" style="165" bestFit="1" customWidth="1"/>
    <col min="12555" max="12555" width="10.875" style="165" customWidth="1"/>
    <col min="12556" max="12558" width="10" style="165" customWidth="1"/>
    <col min="12559" max="12559" width="13.625" style="165" bestFit="1" customWidth="1"/>
    <col min="12560" max="12800" width="9" style="165"/>
    <col min="12801" max="12801" width="13.875" style="165" bestFit="1" customWidth="1"/>
    <col min="12802" max="12802" width="9" style="165"/>
    <col min="12803" max="12804" width="11.375" style="165" customWidth="1"/>
    <col min="12805" max="12805" width="11.75" style="165" bestFit="1" customWidth="1"/>
    <col min="12806" max="12809" width="10.875" style="165" bestFit="1" customWidth="1"/>
    <col min="12810" max="12810" width="11.25" style="165" bestFit="1" customWidth="1"/>
    <col min="12811" max="12811" width="10.875" style="165" customWidth="1"/>
    <col min="12812" max="12814" width="10" style="165" customWidth="1"/>
    <col min="12815" max="12815" width="13.625" style="165" bestFit="1" customWidth="1"/>
    <col min="12816" max="13056" width="9" style="165"/>
    <col min="13057" max="13057" width="13.875" style="165" bestFit="1" customWidth="1"/>
    <col min="13058" max="13058" width="9" style="165"/>
    <col min="13059" max="13060" width="11.375" style="165" customWidth="1"/>
    <col min="13061" max="13061" width="11.75" style="165" bestFit="1" customWidth="1"/>
    <col min="13062" max="13065" width="10.875" style="165" bestFit="1" customWidth="1"/>
    <col min="13066" max="13066" width="11.25" style="165" bestFit="1" customWidth="1"/>
    <col min="13067" max="13067" width="10.875" style="165" customWidth="1"/>
    <col min="13068" max="13070" width="10" style="165" customWidth="1"/>
    <col min="13071" max="13071" width="13.625" style="165" bestFit="1" customWidth="1"/>
    <col min="13072" max="13312" width="9" style="165"/>
    <col min="13313" max="13313" width="13.875" style="165" bestFit="1" customWidth="1"/>
    <col min="13314" max="13314" width="9" style="165"/>
    <col min="13315" max="13316" width="11.375" style="165" customWidth="1"/>
    <col min="13317" max="13317" width="11.75" style="165" bestFit="1" customWidth="1"/>
    <col min="13318" max="13321" width="10.875" style="165" bestFit="1" customWidth="1"/>
    <col min="13322" max="13322" width="11.25" style="165" bestFit="1" customWidth="1"/>
    <col min="13323" max="13323" width="10.875" style="165" customWidth="1"/>
    <col min="13324" max="13326" width="10" style="165" customWidth="1"/>
    <col min="13327" max="13327" width="13.625" style="165" bestFit="1" customWidth="1"/>
    <col min="13328" max="13568" width="9" style="165"/>
    <col min="13569" max="13569" width="13.875" style="165" bestFit="1" customWidth="1"/>
    <col min="13570" max="13570" width="9" style="165"/>
    <col min="13571" max="13572" width="11.375" style="165" customWidth="1"/>
    <col min="13573" max="13573" width="11.75" style="165" bestFit="1" customWidth="1"/>
    <col min="13574" max="13577" width="10.875" style="165" bestFit="1" customWidth="1"/>
    <col min="13578" max="13578" width="11.25" style="165" bestFit="1" customWidth="1"/>
    <col min="13579" max="13579" width="10.875" style="165" customWidth="1"/>
    <col min="13580" max="13582" width="10" style="165" customWidth="1"/>
    <col min="13583" max="13583" width="13.625" style="165" bestFit="1" customWidth="1"/>
    <col min="13584" max="13824" width="9" style="165"/>
    <col min="13825" max="13825" width="13.875" style="165" bestFit="1" customWidth="1"/>
    <col min="13826" max="13826" width="9" style="165"/>
    <col min="13827" max="13828" width="11.375" style="165" customWidth="1"/>
    <col min="13829" max="13829" width="11.75" style="165" bestFit="1" customWidth="1"/>
    <col min="13830" max="13833" width="10.875" style="165" bestFit="1" customWidth="1"/>
    <col min="13834" max="13834" width="11.25" style="165" bestFit="1" customWidth="1"/>
    <col min="13835" max="13835" width="10.875" style="165" customWidth="1"/>
    <col min="13836" max="13838" width="10" style="165" customWidth="1"/>
    <col min="13839" max="13839" width="13.625" style="165" bestFit="1" customWidth="1"/>
    <col min="13840" max="14080" width="9" style="165"/>
    <col min="14081" max="14081" width="13.875" style="165" bestFit="1" customWidth="1"/>
    <col min="14082" max="14082" width="9" style="165"/>
    <col min="14083" max="14084" width="11.375" style="165" customWidth="1"/>
    <col min="14085" max="14085" width="11.75" style="165" bestFit="1" customWidth="1"/>
    <col min="14086" max="14089" width="10.875" style="165" bestFit="1" customWidth="1"/>
    <col min="14090" max="14090" width="11.25" style="165" bestFit="1" customWidth="1"/>
    <col min="14091" max="14091" width="10.875" style="165" customWidth="1"/>
    <col min="14092" max="14094" width="10" style="165" customWidth="1"/>
    <col min="14095" max="14095" width="13.625" style="165" bestFit="1" customWidth="1"/>
    <col min="14096" max="14336" width="9" style="165"/>
    <col min="14337" max="14337" width="13.875" style="165" bestFit="1" customWidth="1"/>
    <col min="14338" max="14338" width="9" style="165"/>
    <col min="14339" max="14340" width="11.375" style="165" customWidth="1"/>
    <col min="14341" max="14341" width="11.75" style="165" bestFit="1" customWidth="1"/>
    <col min="14342" max="14345" width="10.875" style="165" bestFit="1" customWidth="1"/>
    <col min="14346" max="14346" width="11.25" style="165" bestFit="1" customWidth="1"/>
    <col min="14347" max="14347" width="10.875" style="165" customWidth="1"/>
    <col min="14348" max="14350" width="10" style="165" customWidth="1"/>
    <col min="14351" max="14351" width="13.625" style="165" bestFit="1" customWidth="1"/>
    <col min="14352" max="14592" width="9" style="165"/>
    <col min="14593" max="14593" width="13.875" style="165" bestFit="1" customWidth="1"/>
    <col min="14594" max="14594" width="9" style="165"/>
    <col min="14595" max="14596" width="11.375" style="165" customWidth="1"/>
    <col min="14597" max="14597" width="11.75" style="165" bestFit="1" customWidth="1"/>
    <col min="14598" max="14601" width="10.875" style="165" bestFit="1" customWidth="1"/>
    <col min="14602" max="14602" width="11.25" style="165" bestFit="1" customWidth="1"/>
    <col min="14603" max="14603" width="10.875" style="165" customWidth="1"/>
    <col min="14604" max="14606" width="10" style="165" customWidth="1"/>
    <col min="14607" max="14607" width="13.625" style="165" bestFit="1" customWidth="1"/>
    <col min="14608" max="14848" width="9" style="165"/>
    <col min="14849" max="14849" width="13.875" style="165" bestFit="1" customWidth="1"/>
    <col min="14850" max="14850" width="9" style="165"/>
    <col min="14851" max="14852" width="11.375" style="165" customWidth="1"/>
    <col min="14853" max="14853" width="11.75" style="165" bestFit="1" customWidth="1"/>
    <col min="14854" max="14857" width="10.875" style="165" bestFit="1" customWidth="1"/>
    <col min="14858" max="14858" width="11.25" style="165" bestFit="1" customWidth="1"/>
    <col min="14859" max="14859" width="10.875" style="165" customWidth="1"/>
    <col min="14860" max="14862" width="10" style="165" customWidth="1"/>
    <col min="14863" max="14863" width="13.625" style="165" bestFit="1" customWidth="1"/>
    <col min="14864" max="15104" width="9" style="165"/>
    <col min="15105" max="15105" width="13.875" style="165" bestFit="1" customWidth="1"/>
    <col min="15106" max="15106" width="9" style="165"/>
    <col min="15107" max="15108" width="11.375" style="165" customWidth="1"/>
    <col min="15109" max="15109" width="11.75" style="165" bestFit="1" customWidth="1"/>
    <col min="15110" max="15113" width="10.875" style="165" bestFit="1" customWidth="1"/>
    <col min="15114" max="15114" width="11.25" style="165" bestFit="1" customWidth="1"/>
    <col min="15115" max="15115" width="10.875" style="165" customWidth="1"/>
    <col min="15116" max="15118" width="10" style="165" customWidth="1"/>
    <col min="15119" max="15119" width="13.625" style="165" bestFit="1" customWidth="1"/>
    <col min="15120" max="15360" width="9" style="165"/>
    <col min="15361" max="15361" width="13.875" style="165" bestFit="1" customWidth="1"/>
    <col min="15362" max="15362" width="9" style="165"/>
    <col min="15363" max="15364" width="11.375" style="165" customWidth="1"/>
    <col min="15365" max="15365" width="11.75" style="165" bestFit="1" customWidth="1"/>
    <col min="15366" max="15369" width="10.875" style="165" bestFit="1" customWidth="1"/>
    <col min="15370" max="15370" width="11.25" style="165" bestFit="1" customWidth="1"/>
    <col min="15371" max="15371" width="10.875" style="165" customWidth="1"/>
    <col min="15372" max="15374" width="10" style="165" customWidth="1"/>
    <col min="15375" max="15375" width="13.625" style="165" bestFit="1" customWidth="1"/>
    <col min="15376" max="15616" width="9" style="165"/>
    <col min="15617" max="15617" width="13.875" style="165" bestFit="1" customWidth="1"/>
    <col min="15618" max="15618" width="9" style="165"/>
    <col min="15619" max="15620" width="11.375" style="165" customWidth="1"/>
    <col min="15621" max="15621" width="11.75" style="165" bestFit="1" customWidth="1"/>
    <col min="15622" max="15625" width="10.875" style="165" bestFit="1" customWidth="1"/>
    <col min="15626" max="15626" width="11.25" style="165" bestFit="1" customWidth="1"/>
    <col min="15627" max="15627" width="10.875" style="165" customWidth="1"/>
    <col min="15628" max="15630" width="10" style="165" customWidth="1"/>
    <col min="15631" max="15631" width="13.625" style="165" bestFit="1" customWidth="1"/>
    <col min="15632" max="15872" width="9" style="165"/>
    <col min="15873" max="15873" width="13.875" style="165" bestFit="1" customWidth="1"/>
    <col min="15874" max="15874" width="9" style="165"/>
    <col min="15875" max="15876" width="11.375" style="165" customWidth="1"/>
    <col min="15877" max="15877" width="11.75" style="165" bestFit="1" customWidth="1"/>
    <col min="15878" max="15881" width="10.875" style="165" bestFit="1" customWidth="1"/>
    <col min="15882" max="15882" width="11.25" style="165" bestFit="1" customWidth="1"/>
    <col min="15883" max="15883" width="10.875" style="165" customWidth="1"/>
    <col min="15884" max="15886" width="10" style="165" customWidth="1"/>
    <col min="15887" max="15887" width="13.625" style="165" bestFit="1" customWidth="1"/>
    <col min="15888" max="16128" width="9" style="165"/>
    <col min="16129" max="16129" width="13.875" style="165" bestFit="1" customWidth="1"/>
    <col min="16130" max="16130" width="9" style="165"/>
    <col min="16131" max="16132" width="11.375" style="165" customWidth="1"/>
    <col min="16133" max="16133" width="11.75" style="165" bestFit="1" customWidth="1"/>
    <col min="16134" max="16137" width="10.875" style="165" bestFit="1" customWidth="1"/>
    <col min="16138" max="16138" width="11.25" style="165" bestFit="1" customWidth="1"/>
    <col min="16139" max="16139" width="10.875" style="165" customWidth="1"/>
    <col min="16140" max="16142" width="10" style="165" customWidth="1"/>
    <col min="16143" max="16143" width="13.625" style="165" bestFit="1" customWidth="1"/>
    <col min="16144" max="16384" width="9" style="165"/>
  </cols>
  <sheetData>
    <row r="1" spans="1:15" ht="26.25" customHeight="1" x14ac:dyDescent="0.2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</row>
    <row r="2" spans="1:15" ht="11.25" customHeight="1" thickBo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1:15" ht="16.5" customHeight="1" thickBot="1" x14ac:dyDescent="0.2">
      <c r="A3" s="173"/>
      <c r="B3" s="174"/>
      <c r="C3" s="175" t="s">
        <v>144</v>
      </c>
      <c r="D3" s="175" t="s">
        <v>145</v>
      </c>
      <c r="E3" s="175" t="s">
        <v>146</v>
      </c>
      <c r="F3" s="175" t="s">
        <v>147</v>
      </c>
      <c r="G3" s="175" t="s">
        <v>148</v>
      </c>
      <c r="H3" s="176" t="s">
        <v>212</v>
      </c>
      <c r="I3" s="175" t="s">
        <v>213</v>
      </c>
      <c r="J3" s="175" t="s">
        <v>149</v>
      </c>
      <c r="K3" s="175" t="s">
        <v>150</v>
      </c>
      <c r="L3" s="175" t="s">
        <v>151</v>
      </c>
      <c r="M3" s="175" t="s">
        <v>152</v>
      </c>
      <c r="N3" s="175" t="s">
        <v>153</v>
      </c>
      <c r="O3" s="175" t="s">
        <v>154</v>
      </c>
    </row>
    <row r="4" spans="1:15" ht="16.5" customHeight="1" x14ac:dyDescent="0.15">
      <c r="A4" s="250"/>
      <c r="B4" s="164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3"/>
    </row>
    <row r="5" spans="1:15" ht="16.5" customHeight="1" x14ac:dyDescent="0.15">
      <c r="A5" s="243"/>
      <c r="B5" s="166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</row>
    <row r="6" spans="1:15" ht="16.5" customHeight="1" x14ac:dyDescent="0.15">
      <c r="A6" s="243"/>
      <c r="B6" s="166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</row>
    <row r="7" spans="1:15" ht="16.5" customHeight="1" x14ac:dyDescent="0.15">
      <c r="A7" s="243"/>
      <c r="B7" s="166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</row>
    <row r="8" spans="1:15" ht="16.5" customHeight="1" x14ac:dyDescent="0.15">
      <c r="A8" s="243"/>
      <c r="B8" s="166"/>
      <c r="C8" s="106"/>
      <c r="D8" s="105"/>
      <c r="E8" s="105"/>
      <c r="F8" s="105"/>
      <c r="G8" s="105"/>
      <c r="H8" s="105"/>
      <c r="I8" s="106"/>
      <c r="J8" s="106"/>
      <c r="K8" s="106"/>
      <c r="L8" s="106"/>
      <c r="M8" s="106"/>
      <c r="N8" s="106"/>
      <c r="O8" s="105"/>
    </row>
    <row r="9" spans="1:15" ht="16.5" customHeight="1" x14ac:dyDescent="0.15">
      <c r="A9" s="243"/>
      <c r="B9" s="166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</row>
    <row r="10" spans="1:15" ht="16.5" customHeight="1" x14ac:dyDescent="0.15">
      <c r="A10" s="243"/>
      <c r="B10" s="166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</row>
    <row r="11" spans="1:15" ht="16.5" customHeight="1" x14ac:dyDescent="0.15">
      <c r="A11" s="243"/>
      <c r="B11" s="166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</row>
    <row r="12" spans="1:15" ht="16.5" customHeight="1" x14ac:dyDescent="0.15">
      <c r="A12" s="243"/>
      <c r="B12" s="166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</row>
    <row r="13" spans="1:15" ht="16.5" customHeight="1" x14ac:dyDescent="0.15">
      <c r="A13" s="243"/>
      <c r="B13" s="166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</row>
    <row r="14" spans="1:15" ht="16.5" customHeight="1" x14ac:dyDescent="0.15">
      <c r="A14" s="243"/>
      <c r="B14" s="166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</row>
    <row r="15" spans="1:15" ht="16.5" customHeight="1" thickBot="1" x14ac:dyDescent="0.2">
      <c r="A15" s="243"/>
      <c r="B15" s="166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68"/>
    </row>
    <row r="16" spans="1:15" ht="16.5" customHeight="1" thickTop="1" x14ac:dyDescent="0.15">
      <c r="A16" s="243"/>
      <c r="B16" s="16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</row>
    <row r="17" spans="1:15" ht="16.5" customHeight="1" thickBot="1" x14ac:dyDescent="0.2">
      <c r="A17" s="244"/>
      <c r="B17" s="170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</row>
    <row r="18" spans="1:15" ht="16.5" customHeight="1" x14ac:dyDescent="0.15">
      <c r="A18" s="243"/>
      <c r="B18" s="164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3"/>
    </row>
    <row r="19" spans="1:15" ht="16.5" customHeight="1" x14ac:dyDescent="0.15">
      <c r="A19" s="243"/>
      <c r="B19" s="166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</row>
    <row r="20" spans="1:15" ht="16.5" customHeight="1" x14ac:dyDescent="0.15">
      <c r="A20" s="243"/>
      <c r="B20" s="167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</row>
    <row r="21" spans="1:15" ht="16.5" customHeight="1" x14ac:dyDescent="0.15">
      <c r="A21" s="243"/>
      <c r="B21" s="166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</row>
    <row r="22" spans="1:15" ht="16.5" customHeight="1" x14ac:dyDescent="0.15">
      <c r="A22" s="243"/>
      <c r="B22" s="166"/>
      <c r="C22" s="106"/>
      <c r="D22" s="105"/>
      <c r="E22" s="105"/>
      <c r="F22" s="105"/>
      <c r="G22" s="105"/>
      <c r="H22" s="105"/>
      <c r="I22" s="106"/>
      <c r="J22" s="106"/>
      <c r="K22" s="106"/>
      <c r="L22" s="106"/>
      <c r="M22" s="106"/>
      <c r="N22" s="106"/>
      <c r="O22" s="105"/>
    </row>
    <row r="23" spans="1:15" ht="16.5" customHeight="1" x14ac:dyDescent="0.15">
      <c r="A23" s="243"/>
      <c r="B23" s="166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</row>
    <row r="24" spans="1:15" ht="16.5" customHeight="1" x14ac:dyDescent="0.15">
      <c r="A24" s="243"/>
      <c r="B24" s="166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</row>
    <row r="25" spans="1:15" ht="16.5" customHeight="1" x14ac:dyDescent="0.15">
      <c r="A25" s="243"/>
      <c r="B25" s="166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</row>
    <row r="26" spans="1:15" ht="16.5" customHeight="1" x14ac:dyDescent="0.15">
      <c r="A26" s="243"/>
      <c r="B26" s="166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</row>
    <row r="27" spans="1:15" ht="16.5" customHeight="1" x14ac:dyDescent="0.15">
      <c r="A27" s="243"/>
      <c r="B27" s="166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</row>
    <row r="28" spans="1:15" ht="16.5" customHeight="1" x14ac:dyDescent="0.15">
      <c r="A28" s="243"/>
      <c r="B28" s="166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</row>
    <row r="29" spans="1:15" ht="16.5" customHeight="1" thickBot="1" x14ac:dyDescent="0.2">
      <c r="A29" s="243"/>
      <c r="B29" s="166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68"/>
    </row>
    <row r="30" spans="1:15" ht="16.5" customHeight="1" thickTop="1" x14ac:dyDescent="0.15">
      <c r="A30" s="243"/>
      <c r="B30" s="16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</row>
    <row r="31" spans="1:15" ht="16.5" customHeight="1" thickBot="1" x14ac:dyDescent="0.2">
      <c r="A31" s="244"/>
      <c r="B31" s="170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 ht="16.5" customHeight="1" x14ac:dyDescent="0.15">
      <c r="A32" s="243"/>
      <c r="B32" s="164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3"/>
    </row>
    <row r="33" spans="1:15" ht="16.5" customHeight="1" x14ac:dyDescent="0.15">
      <c r="A33" s="243"/>
      <c r="B33" s="166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</row>
    <row r="34" spans="1:15" ht="16.5" customHeight="1" x14ac:dyDescent="0.15">
      <c r="A34" s="243"/>
      <c r="B34" s="167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</row>
    <row r="35" spans="1:15" ht="16.5" customHeight="1" x14ac:dyDescent="0.15">
      <c r="A35" s="243"/>
      <c r="B35" s="166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</row>
    <row r="36" spans="1:15" ht="16.5" customHeight="1" x14ac:dyDescent="0.15">
      <c r="A36" s="243"/>
      <c r="B36" s="166"/>
      <c r="C36" s="106"/>
      <c r="D36" s="105"/>
      <c r="E36" s="105"/>
      <c r="F36" s="105"/>
      <c r="G36" s="105"/>
      <c r="H36" s="105"/>
      <c r="I36" s="106"/>
      <c r="J36" s="106"/>
      <c r="K36" s="106"/>
      <c r="L36" s="106"/>
      <c r="M36" s="106"/>
      <c r="N36" s="106"/>
      <c r="O36" s="105"/>
    </row>
    <row r="37" spans="1:15" ht="16.5" customHeight="1" x14ac:dyDescent="0.15">
      <c r="A37" s="243"/>
      <c r="B37" s="166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</row>
    <row r="38" spans="1:15" ht="16.5" customHeight="1" x14ac:dyDescent="0.15">
      <c r="A38" s="243"/>
      <c r="B38" s="166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</row>
    <row r="39" spans="1:15" ht="16.5" customHeight="1" x14ac:dyDescent="0.15">
      <c r="A39" s="243"/>
      <c r="B39" s="166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</row>
    <row r="40" spans="1:15" ht="16.5" customHeight="1" x14ac:dyDescent="0.15">
      <c r="A40" s="243"/>
      <c r="B40" s="166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</row>
    <row r="41" spans="1:15" ht="16.5" customHeight="1" x14ac:dyDescent="0.15">
      <c r="A41" s="243"/>
      <c r="B41" s="166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</row>
    <row r="42" spans="1:15" ht="16.5" customHeight="1" x14ac:dyDescent="0.15">
      <c r="A42" s="243"/>
      <c r="B42" s="166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</row>
    <row r="43" spans="1:15" ht="16.5" customHeight="1" thickBot="1" x14ac:dyDescent="0.2">
      <c r="A43" s="243"/>
      <c r="B43" s="166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68"/>
    </row>
    <row r="44" spans="1:15" ht="16.5" customHeight="1" thickTop="1" x14ac:dyDescent="0.15">
      <c r="A44" s="243"/>
      <c r="B44" s="169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</row>
    <row r="45" spans="1:15" ht="16.5" customHeight="1" thickBot="1" x14ac:dyDescent="0.2">
      <c r="A45" s="244"/>
      <c r="B45" s="170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</row>
    <row r="46" spans="1:15" ht="16.5" customHeight="1" x14ac:dyDescent="0.15">
      <c r="A46" s="243"/>
      <c r="B46" s="164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3"/>
    </row>
    <row r="47" spans="1:15" ht="16.5" customHeight="1" x14ac:dyDescent="0.15">
      <c r="A47" s="243"/>
      <c r="B47" s="166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</row>
    <row r="48" spans="1:15" ht="16.5" customHeight="1" x14ac:dyDescent="0.15">
      <c r="A48" s="243"/>
      <c r="B48" s="167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</row>
    <row r="49" spans="1:15" ht="16.5" customHeight="1" x14ac:dyDescent="0.15">
      <c r="A49" s="243"/>
      <c r="B49" s="166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</row>
    <row r="50" spans="1:15" ht="16.5" customHeight="1" x14ac:dyDescent="0.15">
      <c r="A50" s="243"/>
      <c r="B50" s="166"/>
      <c r="C50" s="106"/>
      <c r="D50" s="105"/>
      <c r="E50" s="105"/>
      <c r="F50" s="105"/>
      <c r="G50" s="105"/>
      <c r="H50" s="105"/>
      <c r="I50" s="106"/>
      <c r="J50" s="106"/>
      <c r="K50" s="106"/>
      <c r="L50" s="106"/>
      <c r="M50" s="106"/>
      <c r="N50" s="106"/>
      <c r="O50" s="105"/>
    </row>
    <row r="51" spans="1:15" ht="16.5" customHeight="1" x14ac:dyDescent="0.15">
      <c r="A51" s="243"/>
      <c r="B51" s="166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</row>
    <row r="52" spans="1:15" ht="16.5" customHeight="1" x14ac:dyDescent="0.15">
      <c r="A52" s="243"/>
      <c r="B52" s="166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</row>
    <row r="53" spans="1:15" ht="16.5" customHeight="1" x14ac:dyDescent="0.15">
      <c r="A53" s="243"/>
      <c r="B53" s="166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</row>
    <row r="54" spans="1:15" ht="16.5" customHeight="1" x14ac:dyDescent="0.15">
      <c r="A54" s="243"/>
      <c r="B54" s="166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</row>
    <row r="55" spans="1:15" ht="16.5" customHeight="1" x14ac:dyDescent="0.15">
      <c r="A55" s="243"/>
      <c r="B55" s="166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</row>
    <row r="56" spans="1:15" ht="16.5" customHeight="1" x14ac:dyDescent="0.15">
      <c r="A56" s="243"/>
      <c r="B56" s="166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</row>
    <row r="57" spans="1:15" ht="16.5" customHeight="1" thickBot="1" x14ac:dyDescent="0.2">
      <c r="A57" s="243"/>
      <c r="B57" s="166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68"/>
    </row>
    <row r="58" spans="1:15" ht="16.5" customHeight="1" thickTop="1" x14ac:dyDescent="0.15">
      <c r="A58" s="243"/>
      <c r="B58" s="169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</row>
    <row r="59" spans="1:15" ht="16.5" customHeight="1" thickBot="1" x14ac:dyDescent="0.2">
      <c r="A59" s="244"/>
      <c r="B59" s="170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</row>
    <row r="60" spans="1:15" ht="16.5" customHeight="1" x14ac:dyDescent="0.15">
      <c r="A60" s="243"/>
      <c r="B60" s="164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3"/>
    </row>
    <row r="61" spans="1:15" ht="16.5" customHeight="1" x14ac:dyDescent="0.15">
      <c r="A61" s="243"/>
      <c r="B61" s="166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</row>
    <row r="62" spans="1:15" ht="16.5" customHeight="1" x14ac:dyDescent="0.15">
      <c r="A62" s="243"/>
      <c r="B62" s="167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</row>
    <row r="63" spans="1:15" ht="16.5" customHeight="1" x14ac:dyDescent="0.15">
      <c r="A63" s="243"/>
      <c r="B63" s="166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</row>
    <row r="64" spans="1:15" ht="16.5" customHeight="1" x14ac:dyDescent="0.15">
      <c r="A64" s="243"/>
      <c r="B64" s="166"/>
      <c r="C64" s="106"/>
      <c r="D64" s="105"/>
      <c r="E64" s="105"/>
      <c r="F64" s="105"/>
      <c r="G64" s="105"/>
      <c r="H64" s="105"/>
      <c r="I64" s="106"/>
      <c r="J64" s="106"/>
      <c r="K64" s="106"/>
      <c r="L64" s="106"/>
      <c r="M64" s="106"/>
      <c r="N64" s="106"/>
      <c r="O64" s="105"/>
    </row>
    <row r="65" spans="1:15" ht="16.5" customHeight="1" x14ac:dyDescent="0.15">
      <c r="A65" s="243"/>
      <c r="B65" s="166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</row>
    <row r="66" spans="1:15" ht="16.5" customHeight="1" x14ac:dyDescent="0.15">
      <c r="A66" s="243"/>
      <c r="B66" s="166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</row>
    <row r="67" spans="1:15" ht="16.5" customHeight="1" x14ac:dyDescent="0.15">
      <c r="A67" s="243"/>
      <c r="B67" s="166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</row>
    <row r="68" spans="1:15" ht="16.5" customHeight="1" x14ac:dyDescent="0.15">
      <c r="A68" s="243"/>
      <c r="B68" s="166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</row>
    <row r="69" spans="1:15" ht="16.5" customHeight="1" x14ac:dyDescent="0.15">
      <c r="A69" s="243"/>
      <c r="B69" s="166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</row>
    <row r="70" spans="1:15" ht="16.5" customHeight="1" x14ac:dyDescent="0.15">
      <c r="A70" s="243"/>
      <c r="B70" s="166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</row>
    <row r="71" spans="1:15" ht="16.5" customHeight="1" thickBot="1" x14ac:dyDescent="0.2">
      <c r="A71" s="243"/>
      <c r="B71" s="166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68"/>
    </row>
    <row r="72" spans="1:15" ht="16.5" customHeight="1" thickTop="1" x14ac:dyDescent="0.15">
      <c r="A72" s="243"/>
      <c r="B72" s="169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</row>
    <row r="73" spans="1:15" ht="16.5" customHeight="1" thickBot="1" x14ac:dyDescent="0.2">
      <c r="A73" s="244"/>
      <c r="B73" s="170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</row>
    <row r="74" spans="1:15" ht="16.5" customHeight="1" x14ac:dyDescent="0.15">
      <c r="A74" s="243"/>
      <c r="B74" s="178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3"/>
    </row>
    <row r="75" spans="1:15" ht="16.5" customHeight="1" x14ac:dyDescent="0.15">
      <c r="A75" s="243"/>
      <c r="B75" s="166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</row>
    <row r="76" spans="1:15" ht="16.5" customHeight="1" x14ac:dyDescent="0.15">
      <c r="A76" s="243"/>
      <c r="B76" s="167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</row>
    <row r="77" spans="1:15" ht="16.5" customHeight="1" x14ac:dyDescent="0.15">
      <c r="A77" s="243"/>
      <c r="B77" s="166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</row>
    <row r="78" spans="1:15" ht="16.5" customHeight="1" x14ac:dyDescent="0.15">
      <c r="A78" s="243"/>
      <c r="B78" s="166"/>
      <c r="C78" s="106"/>
      <c r="D78" s="105"/>
      <c r="E78" s="105"/>
      <c r="F78" s="105"/>
      <c r="G78" s="105"/>
      <c r="H78" s="105"/>
      <c r="I78" s="106"/>
      <c r="J78" s="106"/>
      <c r="K78" s="106"/>
      <c r="L78" s="106"/>
      <c r="M78" s="106"/>
      <c r="N78" s="106"/>
      <c r="O78" s="105"/>
    </row>
    <row r="79" spans="1:15" ht="16.5" customHeight="1" x14ac:dyDescent="0.15">
      <c r="A79" s="243"/>
      <c r="B79" s="166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</row>
    <row r="80" spans="1:15" ht="16.5" customHeight="1" x14ac:dyDescent="0.15">
      <c r="A80" s="243"/>
      <c r="B80" s="166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</row>
    <row r="81" spans="1:15" ht="16.5" customHeight="1" x14ac:dyDescent="0.15">
      <c r="A81" s="243"/>
      <c r="B81" s="166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</row>
    <row r="82" spans="1:15" ht="16.5" customHeight="1" x14ac:dyDescent="0.15">
      <c r="A82" s="243"/>
      <c r="B82" s="166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</row>
    <row r="83" spans="1:15" ht="16.5" customHeight="1" x14ac:dyDescent="0.15">
      <c r="A83" s="243"/>
      <c r="B83" s="166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</row>
    <row r="84" spans="1:15" ht="16.5" customHeight="1" x14ac:dyDescent="0.15">
      <c r="A84" s="243"/>
      <c r="B84" s="166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</row>
    <row r="85" spans="1:15" ht="16.5" customHeight="1" thickBot="1" x14ac:dyDescent="0.2">
      <c r="A85" s="243"/>
      <c r="B85" s="166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68"/>
    </row>
    <row r="86" spans="1:15" ht="16.5" customHeight="1" thickTop="1" x14ac:dyDescent="0.15">
      <c r="A86" s="243"/>
      <c r="B86" s="169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</row>
    <row r="87" spans="1:15" ht="16.5" customHeight="1" thickBot="1" x14ac:dyDescent="0.2">
      <c r="A87" s="244"/>
      <c r="B87" s="170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</row>
    <row r="88" spans="1:15" ht="16.5" customHeight="1" x14ac:dyDescent="0.15">
      <c r="A88" s="243"/>
      <c r="B88" s="178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3"/>
    </row>
    <row r="89" spans="1:15" ht="16.5" customHeight="1" x14ac:dyDescent="0.15">
      <c r="A89" s="243"/>
      <c r="B89" s="166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</row>
    <row r="90" spans="1:15" ht="16.5" customHeight="1" x14ac:dyDescent="0.15">
      <c r="A90" s="243"/>
      <c r="B90" s="167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</row>
    <row r="91" spans="1:15" ht="16.5" customHeight="1" x14ac:dyDescent="0.15">
      <c r="A91" s="243"/>
      <c r="B91" s="166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</row>
    <row r="92" spans="1:15" ht="16.5" customHeight="1" x14ac:dyDescent="0.15">
      <c r="A92" s="243"/>
      <c r="B92" s="166"/>
      <c r="C92" s="106"/>
      <c r="D92" s="105"/>
      <c r="E92" s="105"/>
      <c r="F92" s="105"/>
      <c r="G92" s="105"/>
      <c r="H92" s="105"/>
      <c r="I92" s="106"/>
      <c r="J92" s="106"/>
      <c r="K92" s="106"/>
      <c r="L92" s="106"/>
      <c r="M92" s="106"/>
      <c r="N92" s="106"/>
      <c r="O92" s="105"/>
    </row>
    <row r="93" spans="1:15" ht="16.5" customHeight="1" x14ac:dyDescent="0.15">
      <c r="A93" s="243"/>
      <c r="B93" s="166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</row>
    <row r="94" spans="1:15" ht="16.5" customHeight="1" x14ac:dyDescent="0.15">
      <c r="A94" s="243"/>
      <c r="B94" s="166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</row>
    <row r="95" spans="1:15" ht="16.5" customHeight="1" x14ac:dyDescent="0.15">
      <c r="A95" s="243"/>
      <c r="B95" s="166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</row>
    <row r="96" spans="1:15" ht="16.5" customHeight="1" x14ac:dyDescent="0.15">
      <c r="A96" s="243"/>
      <c r="B96" s="166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</row>
    <row r="97" spans="1:15" ht="16.5" customHeight="1" x14ac:dyDescent="0.15">
      <c r="A97" s="243"/>
      <c r="B97" s="166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</row>
    <row r="98" spans="1:15" ht="16.5" customHeight="1" x14ac:dyDescent="0.15">
      <c r="A98" s="243"/>
      <c r="B98" s="166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</row>
    <row r="99" spans="1:15" ht="16.5" customHeight="1" thickBot="1" x14ac:dyDescent="0.2">
      <c r="A99" s="243"/>
      <c r="B99" s="166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68"/>
    </row>
    <row r="100" spans="1:15" ht="16.5" customHeight="1" thickTop="1" x14ac:dyDescent="0.15">
      <c r="A100" s="243"/>
      <c r="B100" s="169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</row>
    <row r="101" spans="1:15" ht="16.5" customHeight="1" thickBot="1" x14ac:dyDescent="0.2">
      <c r="A101" s="244"/>
      <c r="B101" s="170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</row>
    <row r="102" spans="1:15" ht="16.5" customHeight="1" x14ac:dyDescent="0.15">
      <c r="A102" s="243"/>
      <c r="B102" s="178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3"/>
    </row>
    <row r="103" spans="1:15" ht="16.5" customHeight="1" x14ac:dyDescent="0.15">
      <c r="A103" s="243"/>
      <c r="B103" s="166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</row>
    <row r="104" spans="1:15" ht="16.5" customHeight="1" x14ac:dyDescent="0.15">
      <c r="A104" s="243"/>
      <c r="B104" s="167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</row>
    <row r="105" spans="1:15" ht="16.5" customHeight="1" x14ac:dyDescent="0.15">
      <c r="A105" s="243"/>
      <c r="B105" s="166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</row>
    <row r="106" spans="1:15" ht="16.5" customHeight="1" x14ac:dyDescent="0.15">
      <c r="A106" s="243"/>
      <c r="B106" s="166"/>
      <c r="C106" s="106"/>
      <c r="D106" s="105"/>
      <c r="E106" s="105"/>
      <c r="F106" s="105"/>
      <c r="G106" s="105"/>
      <c r="H106" s="105"/>
      <c r="I106" s="106"/>
      <c r="J106" s="106"/>
      <c r="K106" s="106"/>
      <c r="L106" s="106"/>
      <c r="M106" s="106"/>
      <c r="N106" s="106"/>
      <c r="O106" s="105"/>
    </row>
    <row r="107" spans="1:15" ht="16.5" customHeight="1" x14ac:dyDescent="0.15">
      <c r="A107" s="243"/>
      <c r="B107" s="166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</row>
    <row r="108" spans="1:15" ht="16.5" customHeight="1" x14ac:dyDescent="0.15">
      <c r="A108" s="243"/>
      <c r="B108" s="166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</row>
    <row r="109" spans="1:15" ht="16.5" customHeight="1" x14ac:dyDescent="0.15">
      <c r="A109" s="243"/>
      <c r="B109" s="166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</row>
    <row r="110" spans="1:15" ht="16.5" customHeight="1" x14ac:dyDescent="0.15">
      <c r="A110" s="243"/>
      <c r="B110" s="166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</row>
    <row r="111" spans="1:15" ht="16.5" customHeight="1" x14ac:dyDescent="0.15">
      <c r="A111" s="243"/>
      <c r="B111" s="166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</row>
    <row r="112" spans="1:15" ht="16.5" customHeight="1" x14ac:dyDescent="0.15">
      <c r="A112" s="243"/>
      <c r="B112" s="166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</row>
    <row r="113" spans="1:15" ht="16.5" customHeight="1" thickBot="1" x14ac:dyDescent="0.2">
      <c r="A113" s="243"/>
      <c r="B113" s="166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68"/>
    </row>
    <row r="114" spans="1:15" ht="16.5" customHeight="1" thickTop="1" x14ac:dyDescent="0.15">
      <c r="A114" s="243"/>
      <c r="B114" s="169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</row>
    <row r="115" spans="1:15" ht="16.5" customHeight="1" thickBot="1" x14ac:dyDescent="0.2">
      <c r="A115" s="244"/>
      <c r="B115" s="170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</row>
    <row r="116" spans="1:15" ht="16.5" customHeight="1" x14ac:dyDescent="0.15">
      <c r="A116" s="243"/>
      <c r="B116" s="178" t="s">
        <v>21</v>
      </c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3">
        <f>SUM(C116:N116)</f>
        <v>0</v>
      </c>
    </row>
    <row r="117" spans="1:15" ht="16.5" customHeight="1" x14ac:dyDescent="0.15">
      <c r="A117" s="243"/>
      <c r="B117" s="166" t="s">
        <v>155</v>
      </c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>
        <f t="shared" ref="O117:O125" si="0">SUM(C117:N117)</f>
        <v>0</v>
      </c>
    </row>
    <row r="118" spans="1:15" ht="16.5" customHeight="1" x14ac:dyDescent="0.15">
      <c r="A118" s="243"/>
      <c r="B118" s="167" t="s">
        <v>156</v>
      </c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>
        <f t="shared" si="0"/>
        <v>0</v>
      </c>
    </row>
    <row r="119" spans="1:15" ht="16.5" customHeight="1" x14ac:dyDescent="0.15">
      <c r="A119" s="243"/>
      <c r="B119" s="166" t="s">
        <v>26</v>
      </c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>
        <f t="shared" si="0"/>
        <v>0</v>
      </c>
    </row>
    <row r="120" spans="1:15" ht="16.5" customHeight="1" x14ac:dyDescent="0.15">
      <c r="A120" s="243"/>
      <c r="B120" s="166" t="s">
        <v>66</v>
      </c>
      <c r="C120" s="106"/>
      <c r="D120" s="105"/>
      <c r="E120" s="105"/>
      <c r="F120" s="105"/>
      <c r="G120" s="105"/>
      <c r="H120" s="105"/>
      <c r="I120" s="106"/>
      <c r="J120" s="106"/>
      <c r="K120" s="106"/>
      <c r="L120" s="106"/>
      <c r="M120" s="106"/>
      <c r="N120" s="106"/>
      <c r="O120" s="105">
        <f t="shared" si="0"/>
        <v>0</v>
      </c>
    </row>
    <row r="121" spans="1:15" ht="16.5" customHeight="1" x14ac:dyDescent="0.15">
      <c r="A121" s="243"/>
      <c r="B121" s="166" t="s">
        <v>22</v>
      </c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>
        <f t="shared" si="0"/>
        <v>0</v>
      </c>
    </row>
    <row r="122" spans="1:15" ht="16.5" customHeight="1" x14ac:dyDescent="0.15">
      <c r="A122" s="243"/>
      <c r="B122" s="166" t="s">
        <v>67</v>
      </c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>
        <f t="shared" si="0"/>
        <v>0</v>
      </c>
    </row>
    <row r="123" spans="1:15" ht="16.5" customHeight="1" x14ac:dyDescent="0.15">
      <c r="A123" s="243"/>
      <c r="B123" s="166" t="s">
        <v>23</v>
      </c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>
        <f t="shared" si="0"/>
        <v>0</v>
      </c>
    </row>
    <row r="124" spans="1:15" ht="16.5" customHeight="1" x14ac:dyDescent="0.15">
      <c r="A124" s="243"/>
      <c r="B124" s="166" t="s">
        <v>157</v>
      </c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>
        <f t="shared" si="0"/>
        <v>0</v>
      </c>
    </row>
    <row r="125" spans="1:15" ht="16.5" customHeight="1" x14ac:dyDescent="0.15">
      <c r="A125" s="243"/>
      <c r="B125" s="166" t="s">
        <v>158</v>
      </c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>
        <f t="shared" si="0"/>
        <v>0</v>
      </c>
    </row>
    <row r="126" spans="1:15" ht="16.5" customHeight="1" x14ac:dyDescent="0.15">
      <c r="A126" s="243"/>
      <c r="B126" s="166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</row>
    <row r="127" spans="1:15" ht="16.5" customHeight="1" thickBot="1" x14ac:dyDescent="0.2">
      <c r="A127" s="243"/>
      <c r="B127" s="166" t="s">
        <v>161</v>
      </c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68">
        <f>SUM(C127:N127)</f>
        <v>0</v>
      </c>
    </row>
    <row r="128" spans="1:15" ht="16.5" customHeight="1" thickTop="1" x14ac:dyDescent="0.15">
      <c r="A128" s="243"/>
      <c r="B128" s="169" t="s">
        <v>159</v>
      </c>
      <c r="C128" s="110"/>
      <c r="D128" s="110">
        <v>0</v>
      </c>
      <c r="E128" s="110"/>
      <c r="F128" s="110">
        <v>0</v>
      </c>
      <c r="G128" s="110">
        <v>0</v>
      </c>
      <c r="H128" s="110">
        <f t="shared" ref="H128:O128" si="1">H116-SUM(H117:H124)</f>
        <v>0</v>
      </c>
      <c r="I128" s="110">
        <f t="shared" si="1"/>
        <v>0</v>
      </c>
      <c r="J128" s="110">
        <f t="shared" si="1"/>
        <v>0</v>
      </c>
      <c r="K128" s="110">
        <f t="shared" si="1"/>
        <v>0</v>
      </c>
      <c r="L128" s="110">
        <f t="shared" si="1"/>
        <v>0</v>
      </c>
      <c r="M128" s="110">
        <f t="shared" si="1"/>
        <v>0</v>
      </c>
      <c r="N128" s="110">
        <f t="shared" si="1"/>
        <v>0</v>
      </c>
      <c r="O128" s="110">
        <f t="shared" si="1"/>
        <v>0</v>
      </c>
    </row>
    <row r="129" spans="1:15" ht="16.5" customHeight="1" thickBot="1" x14ac:dyDescent="0.2">
      <c r="A129" s="244"/>
      <c r="B129" s="170" t="s">
        <v>160</v>
      </c>
      <c r="C129" s="112"/>
      <c r="D129" s="112" t="s">
        <v>182</v>
      </c>
      <c r="E129" s="112"/>
      <c r="F129" s="112" t="s">
        <v>182</v>
      </c>
      <c r="G129" s="112" t="s">
        <v>182</v>
      </c>
      <c r="H129" s="112" t="str">
        <f t="shared" ref="H129:O129" si="2">IF(H116=0,"―     ",H128/H116)</f>
        <v xml:space="preserve">―     </v>
      </c>
      <c r="I129" s="112" t="str">
        <f t="shared" si="2"/>
        <v xml:space="preserve">―     </v>
      </c>
      <c r="J129" s="112" t="str">
        <f t="shared" si="2"/>
        <v xml:space="preserve">―     </v>
      </c>
      <c r="K129" s="112" t="str">
        <f t="shared" si="2"/>
        <v xml:space="preserve">―     </v>
      </c>
      <c r="L129" s="112" t="str">
        <f t="shared" si="2"/>
        <v xml:space="preserve">―     </v>
      </c>
      <c r="M129" s="112" t="str">
        <f t="shared" si="2"/>
        <v xml:space="preserve">―     </v>
      </c>
      <c r="N129" s="112" t="str">
        <f t="shared" si="2"/>
        <v xml:space="preserve">―     </v>
      </c>
      <c r="O129" s="112" t="str">
        <f t="shared" si="2"/>
        <v xml:space="preserve">―     </v>
      </c>
    </row>
    <row r="130" spans="1:15" ht="16.5" customHeight="1" x14ac:dyDescent="0.15">
      <c r="A130" s="243" t="s">
        <v>210</v>
      </c>
      <c r="B130" s="164" t="s">
        <v>21</v>
      </c>
      <c r="C130" s="102">
        <v>10703315</v>
      </c>
      <c r="D130" s="102">
        <v>12234126</v>
      </c>
      <c r="E130" s="102">
        <v>12838899</v>
      </c>
      <c r="F130" s="102">
        <v>12976587</v>
      </c>
      <c r="G130" s="102">
        <v>15275708</v>
      </c>
      <c r="H130" s="102">
        <v>14348095</v>
      </c>
      <c r="I130" s="102">
        <v>15844009</v>
      </c>
      <c r="J130" s="102">
        <v>15315413</v>
      </c>
      <c r="K130" s="102">
        <v>14888139</v>
      </c>
      <c r="L130" s="102">
        <v>14395390</v>
      </c>
      <c r="M130" s="102">
        <v>14571549</v>
      </c>
      <c r="N130" s="102">
        <v>14216120</v>
      </c>
      <c r="O130" s="103">
        <f>SUM(C130:N130)</f>
        <v>167607350</v>
      </c>
    </row>
    <row r="131" spans="1:15" ht="16.5" customHeight="1" x14ac:dyDescent="0.15">
      <c r="A131" s="243"/>
      <c r="B131" s="166" t="s">
        <v>155</v>
      </c>
      <c r="C131" s="105">
        <v>6690068</v>
      </c>
      <c r="D131" s="105">
        <v>7990848</v>
      </c>
      <c r="E131" s="105">
        <v>8357003</v>
      </c>
      <c r="F131" s="105">
        <v>8434916</v>
      </c>
      <c r="G131" s="105">
        <v>10522076</v>
      </c>
      <c r="H131" s="105">
        <v>9683717</v>
      </c>
      <c r="I131" s="105">
        <v>10706292</v>
      </c>
      <c r="J131" s="105">
        <v>10277798</v>
      </c>
      <c r="K131" s="105">
        <v>9948630</v>
      </c>
      <c r="L131" s="105">
        <v>9868908</v>
      </c>
      <c r="M131" s="105">
        <v>9977468</v>
      </c>
      <c r="N131" s="105">
        <v>9486592</v>
      </c>
      <c r="O131" s="105">
        <f t="shared" ref="O131:O141" si="3">SUM(C131:N131)</f>
        <v>111944316</v>
      </c>
    </row>
    <row r="132" spans="1:15" ht="16.5" customHeight="1" x14ac:dyDescent="0.15">
      <c r="A132" s="243"/>
      <c r="B132" s="167" t="s">
        <v>156</v>
      </c>
      <c r="C132" s="105">
        <v>127800</v>
      </c>
      <c r="D132" s="105">
        <v>54500</v>
      </c>
      <c r="E132" s="105">
        <v>75950</v>
      </c>
      <c r="F132" s="105">
        <v>72350</v>
      </c>
      <c r="G132" s="105">
        <v>94900</v>
      </c>
      <c r="H132" s="105">
        <v>93675</v>
      </c>
      <c r="I132" s="105">
        <v>77400</v>
      </c>
      <c r="J132" s="105">
        <v>66400</v>
      </c>
      <c r="K132" s="105">
        <v>176791</v>
      </c>
      <c r="L132" s="105">
        <v>67900</v>
      </c>
      <c r="M132" s="105">
        <v>74692</v>
      </c>
      <c r="N132" s="105">
        <v>82325</v>
      </c>
      <c r="O132" s="105">
        <f t="shared" si="3"/>
        <v>1064683</v>
      </c>
    </row>
    <row r="133" spans="1:15" ht="16.5" customHeight="1" x14ac:dyDescent="0.15">
      <c r="A133" s="243"/>
      <c r="B133" s="166" t="s">
        <v>26</v>
      </c>
      <c r="C133" s="105">
        <v>185800</v>
      </c>
      <c r="D133" s="105">
        <v>197190</v>
      </c>
      <c r="E133" s="105">
        <v>184130</v>
      </c>
      <c r="F133" s="105">
        <v>194430</v>
      </c>
      <c r="G133" s="105">
        <v>213540</v>
      </c>
      <c r="H133" s="105">
        <v>223260</v>
      </c>
      <c r="I133" s="105">
        <v>268890</v>
      </c>
      <c r="J133" s="105">
        <v>261080</v>
      </c>
      <c r="K133" s="105">
        <v>244030</v>
      </c>
      <c r="L133" s="105">
        <v>234620</v>
      </c>
      <c r="M133" s="105">
        <v>238560</v>
      </c>
      <c r="N133" s="105">
        <v>264350</v>
      </c>
      <c r="O133" s="105">
        <f t="shared" si="3"/>
        <v>2709880</v>
      </c>
    </row>
    <row r="134" spans="1:15" ht="16.5" customHeight="1" x14ac:dyDescent="0.15">
      <c r="A134" s="243"/>
      <c r="B134" s="166" t="s">
        <v>66</v>
      </c>
      <c r="C134" s="106">
        <v>105801</v>
      </c>
      <c r="D134" s="105">
        <v>12059</v>
      </c>
      <c r="E134" s="105">
        <v>95335</v>
      </c>
      <c r="F134" s="105">
        <v>132301</v>
      </c>
      <c r="G134" s="105">
        <v>100025</v>
      </c>
      <c r="H134" s="105">
        <v>92641</v>
      </c>
      <c r="I134" s="105">
        <v>74911</v>
      </c>
      <c r="J134" s="105">
        <v>103335</v>
      </c>
      <c r="K134" s="105">
        <v>120668</v>
      </c>
      <c r="L134" s="105">
        <v>142903</v>
      </c>
      <c r="M134" s="105">
        <v>173837</v>
      </c>
      <c r="N134" s="105">
        <v>179883</v>
      </c>
      <c r="O134" s="105">
        <f t="shared" si="3"/>
        <v>1333699</v>
      </c>
    </row>
    <row r="135" spans="1:15" ht="16.5" customHeight="1" x14ac:dyDescent="0.15">
      <c r="A135" s="243"/>
      <c r="B135" s="166" t="s">
        <v>22</v>
      </c>
      <c r="C135" s="105">
        <v>183776</v>
      </c>
      <c r="D135" s="105">
        <v>169754</v>
      </c>
      <c r="E135" s="105">
        <v>228008</v>
      </c>
      <c r="F135" s="105">
        <v>243338</v>
      </c>
      <c r="G135" s="105">
        <v>272976</v>
      </c>
      <c r="H135" s="105">
        <v>292394</v>
      </c>
      <c r="I135" s="105">
        <v>322646</v>
      </c>
      <c r="J135" s="105">
        <v>358519</v>
      </c>
      <c r="K135" s="105">
        <v>350343</v>
      </c>
      <c r="L135" s="105">
        <v>350343</v>
      </c>
      <c r="M135" s="105">
        <v>362607</v>
      </c>
      <c r="N135" s="105">
        <v>361585</v>
      </c>
      <c r="O135" s="105">
        <f t="shared" si="3"/>
        <v>3496289</v>
      </c>
    </row>
    <row r="136" spans="1:15" ht="16.5" customHeight="1" x14ac:dyDescent="0.15">
      <c r="A136" s="243"/>
      <c r="B136" s="166" t="s">
        <v>67</v>
      </c>
      <c r="C136" s="105">
        <v>27558</v>
      </c>
      <c r="D136" s="105">
        <v>21829</v>
      </c>
      <c r="E136" s="105">
        <v>26585</v>
      </c>
      <c r="F136" s="105">
        <v>25109</v>
      </c>
      <c r="G136" s="105">
        <v>28225</v>
      </c>
      <c r="H136" s="105">
        <v>29783</v>
      </c>
      <c r="I136" s="105">
        <v>33079</v>
      </c>
      <c r="J136" s="105">
        <v>39081</v>
      </c>
      <c r="K136" s="105">
        <v>39081</v>
      </c>
      <c r="L136" s="105">
        <v>39081</v>
      </c>
      <c r="M136" s="105">
        <v>43017</v>
      </c>
      <c r="N136" s="105">
        <v>44493</v>
      </c>
      <c r="O136" s="105">
        <f t="shared" si="3"/>
        <v>396921</v>
      </c>
    </row>
    <row r="137" spans="1:15" ht="16.5" customHeight="1" x14ac:dyDescent="0.15">
      <c r="A137" s="243"/>
      <c r="B137" s="166" t="s">
        <v>23</v>
      </c>
      <c r="C137" s="105">
        <v>326838</v>
      </c>
      <c r="D137" s="105">
        <v>303963</v>
      </c>
      <c r="E137" s="105">
        <v>408273</v>
      </c>
      <c r="F137" s="105">
        <v>435723</v>
      </c>
      <c r="G137" s="105">
        <v>488793</v>
      </c>
      <c r="H137" s="105">
        <v>523563</v>
      </c>
      <c r="I137" s="105">
        <v>577731</v>
      </c>
      <c r="J137" s="105">
        <v>641964</v>
      </c>
      <c r="K137" s="105">
        <v>627324</v>
      </c>
      <c r="L137" s="105">
        <v>627324</v>
      </c>
      <c r="M137" s="105">
        <v>649284</v>
      </c>
      <c r="N137" s="105">
        <v>647454</v>
      </c>
      <c r="O137" s="105">
        <f t="shared" si="3"/>
        <v>6258234</v>
      </c>
    </row>
    <row r="138" spans="1:15" ht="16.5" customHeight="1" x14ac:dyDescent="0.15">
      <c r="A138" s="243"/>
      <c r="B138" s="166" t="s">
        <v>157</v>
      </c>
      <c r="C138" s="105">
        <v>30014</v>
      </c>
      <c r="D138" s="105">
        <v>35144</v>
      </c>
      <c r="E138" s="105">
        <v>37828</v>
      </c>
      <c r="F138" s="105">
        <v>38740</v>
      </c>
      <c r="G138" s="105">
        <v>49108</v>
      </c>
      <c r="H138" s="105">
        <v>46870</v>
      </c>
      <c r="I138" s="105">
        <v>52184</v>
      </c>
      <c r="J138" s="105">
        <v>71995</v>
      </c>
      <c r="K138" s="105">
        <v>69208</v>
      </c>
      <c r="L138" s="105">
        <v>68192</v>
      </c>
      <c r="M138" s="105">
        <v>67852</v>
      </c>
      <c r="N138" s="105">
        <v>65073</v>
      </c>
      <c r="O138" s="105">
        <f t="shared" si="3"/>
        <v>632208</v>
      </c>
    </row>
    <row r="139" spans="1:15" ht="16.5" customHeight="1" x14ac:dyDescent="0.15">
      <c r="A139" s="243"/>
      <c r="B139" s="166" t="s">
        <v>158</v>
      </c>
      <c r="C139" s="105">
        <v>7109469</v>
      </c>
      <c r="D139" s="105">
        <v>8254597</v>
      </c>
      <c r="E139" s="105">
        <v>8712418</v>
      </c>
      <c r="F139" s="105">
        <v>8833997</v>
      </c>
      <c r="G139" s="105">
        <v>10930541</v>
      </c>
      <c r="H139" s="105">
        <v>10093293</v>
      </c>
      <c r="I139" s="105">
        <v>11127493</v>
      </c>
      <c r="J139" s="105">
        <v>10708613</v>
      </c>
      <c r="K139" s="105">
        <v>10503719</v>
      </c>
      <c r="L139" s="105">
        <v>10329321</v>
      </c>
      <c r="M139" s="105">
        <v>10487057</v>
      </c>
      <c r="N139" s="105">
        <v>10044310</v>
      </c>
      <c r="O139" s="105">
        <f t="shared" si="3"/>
        <v>117134828</v>
      </c>
    </row>
    <row r="140" spans="1:15" ht="16.5" customHeight="1" x14ac:dyDescent="0.15">
      <c r="A140" s="243"/>
      <c r="B140" s="166"/>
      <c r="C140" s="107">
        <v>71</v>
      </c>
      <c r="D140" s="107">
        <v>71</v>
      </c>
      <c r="E140" s="107">
        <v>76</v>
      </c>
      <c r="F140" s="107">
        <v>82</v>
      </c>
      <c r="G140" s="107">
        <v>87</v>
      </c>
      <c r="H140" s="107">
        <v>84</v>
      </c>
      <c r="I140" s="107">
        <v>85</v>
      </c>
      <c r="J140" s="107">
        <v>87</v>
      </c>
      <c r="K140" s="107">
        <v>86</v>
      </c>
      <c r="L140" s="107">
        <v>87</v>
      </c>
      <c r="M140" s="107">
        <v>89</v>
      </c>
      <c r="N140" s="107">
        <v>89</v>
      </c>
      <c r="O140" s="107"/>
    </row>
    <row r="141" spans="1:15" ht="16.5" customHeight="1" thickBot="1" x14ac:dyDescent="0.2">
      <c r="A141" s="243"/>
      <c r="B141" s="166" t="s">
        <v>171</v>
      </c>
      <c r="C141" s="107">
        <v>63</v>
      </c>
      <c r="D141" s="107">
        <v>40</v>
      </c>
      <c r="E141" s="107">
        <v>28</v>
      </c>
      <c r="F141" s="107">
        <v>56</v>
      </c>
      <c r="G141" s="107">
        <v>68</v>
      </c>
      <c r="H141" s="107">
        <v>37</v>
      </c>
      <c r="I141" s="107">
        <v>39</v>
      </c>
      <c r="J141" s="107">
        <v>59</v>
      </c>
      <c r="K141" s="107">
        <v>34</v>
      </c>
      <c r="L141" s="107">
        <v>59</v>
      </c>
      <c r="M141" s="107">
        <v>68</v>
      </c>
      <c r="N141" s="107">
        <v>41</v>
      </c>
      <c r="O141" s="168">
        <f t="shared" si="3"/>
        <v>592</v>
      </c>
    </row>
    <row r="142" spans="1:15" ht="16.5" customHeight="1" thickTop="1" x14ac:dyDescent="0.15">
      <c r="A142" s="243"/>
      <c r="B142" s="169" t="s">
        <v>159</v>
      </c>
      <c r="C142" s="110">
        <v>3025660</v>
      </c>
      <c r="D142" s="110">
        <v>3448839</v>
      </c>
      <c r="E142" s="110">
        <v>3425787</v>
      </c>
      <c r="F142" s="110">
        <v>3399680</v>
      </c>
      <c r="G142" s="110">
        <v>3506065</v>
      </c>
      <c r="H142" s="110">
        <v>3362192</v>
      </c>
      <c r="I142" s="110">
        <v>3730876</v>
      </c>
      <c r="J142" s="110">
        <v>3495241</v>
      </c>
      <c r="K142" s="110">
        <v>3312064</v>
      </c>
      <c r="L142" s="110">
        <v>2996119</v>
      </c>
      <c r="M142" s="110">
        <v>2984232</v>
      </c>
      <c r="N142" s="110">
        <v>3084365</v>
      </c>
      <c r="O142" s="110">
        <f>IF(O130="","",O130-SUM(O131:O138))</f>
        <v>39771120</v>
      </c>
    </row>
    <row r="143" spans="1:15" ht="16.5" customHeight="1" thickBot="1" x14ac:dyDescent="0.2">
      <c r="A143" s="244"/>
      <c r="B143" s="170" t="s">
        <v>160</v>
      </c>
      <c r="C143" s="112">
        <v>0.2826843832962031</v>
      </c>
      <c r="D143" s="112">
        <v>0.28190317804475773</v>
      </c>
      <c r="E143" s="112">
        <v>0.26682872106089472</v>
      </c>
      <c r="F143" s="112">
        <v>0.26198568236779052</v>
      </c>
      <c r="G143" s="112">
        <v>0.22951898530660575</v>
      </c>
      <c r="H143" s="112">
        <v>0.23433020202333479</v>
      </c>
      <c r="I143" s="112">
        <v>0.23547550370616427</v>
      </c>
      <c r="J143" s="112">
        <v>0.22821722143568704</v>
      </c>
      <c r="K143" s="112">
        <v>0.22246326421321025</v>
      </c>
      <c r="L143" s="112">
        <v>0.20813045009548195</v>
      </c>
      <c r="M143" s="112">
        <v>0.20479854269439715</v>
      </c>
      <c r="N143" s="112">
        <v>0.21696250453710295</v>
      </c>
      <c r="O143" s="112">
        <f t="shared" ref="O143" si="4">IF(O130="","",IF(O130=0,"―     ",O142/O130))</f>
        <v>0.23728744592644654</v>
      </c>
    </row>
    <row r="144" spans="1:15" ht="16.5" customHeight="1" x14ac:dyDescent="0.15"/>
    <row r="145" ht="16.5" customHeight="1" x14ac:dyDescent="0.15"/>
    <row r="146" ht="16.5" customHeight="1" x14ac:dyDescent="0.15"/>
    <row r="147" ht="16.5" customHeight="1" x14ac:dyDescent="0.15"/>
    <row r="148" ht="16.5" customHeight="1" x14ac:dyDescent="0.15"/>
    <row r="149" ht="16.5" customHeight="1" x14ac:dyDescent="0.15"/>
    <row r="150" ht="16.5" customHeight="1" x14ac:dyDescent="0.15"/>
    <row r="151" ht="16.5" customHeight="1" x14ac:dyDescent="0.15"/>
    <row r="152" ht="16.5" customHeight="1" x14ac:dyDescent="0.15"/>
    <row r="153" ht="16.5" customHeight="1" x14ac:dyDescent="0.15"/>
    <row r="154" ht="16.5" customHeight="1" x14ac:dyDescent="0.15"/>
    <row r="155" ht="16.5" customHeight="1" x14ac:dyDescent="0.15"/>
    <row r="156" ht="16.5" customHeight="1" x14ac:dyDescent="0.15"/>
  </sheetData>
  <mergeCells count="11">
    <mergeCell ref="A74:A87"/>
    <mergeCell ref="A88:A101"/>
    <mergeCell ref="A102:A115"/>
    <mergeCell ref="A130:A143"/>
    <mergeCell ref="A1:O1"/>
    <mergeCell ref="A4:A17"/>
    <mergeCell ref="A18:A31"/>
    <mergeCell ref="A32:A45"/>
    <mergeCell ref="A46:A59"/>
    <mergeCell ref="A60:A73"/>
    <mergeCell ref="A116:A129"/>
  </mergeCells>
  <phoneticPr fontId="3"/>
  <pageMargins left="0.19685039370078741" right="0.19685039370078741" top="0.19685039370078741" bottom="0.19685039370078741" header="0.19685039370078741" footer="0.19685039370078741"/>
  <pageSetup paperSize="9" scale="84" fitToHeight="58" orientation="landscape" r:id="rId1"/>
  <headerFooter alignWithMargins="0">
    <oddHeader>&amp;R&amp;D  &amp;T</oddHeader>
    <oddFooter>&amp;C&amp;P/&amp;N&amp;R㈱タスクフォース</oddFooter>
  </headerFooter>
  <rowBreaks count="4" manualBreakCount="4">
    <brk id="17" max="14" man="1"/>
    <brk id="45" max="14" man="1"/>
    <brk id="87" max="14" man="1"/>
    <brk id="129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DFAD6-A6FB-4657-B1F4-EA47A1684FB4}">
  <dimension ref="A1:O156"/>
  <sheetViews>
    <sheetView view="pageBreakPreview" zoomScaleNormal="100" zoomScaleSheetLayoutView="100" workbookViewId="0">
      <pane xSplit="2" ySplit="3" topLeftCell="C4" activePane="bottomRight" state="frozen"/>
      <selection activeCell="I102" sqref="I102:I129"/>
      <selection pane="topRight" activeCell="I102" sqref="I102:I129"/>
      <selection pane="bottomLeft" activeCell="I102" sqref="I102:I129"/>
      <selection pane="bottomRight" activeCell="I102" sqref="I102:I129"/>
    </sheetView>
  </sheetViews>
  <sheetFormatPr defaultRowHeight="13.5" x14ac:dyDescent="0.15"/>
  <cols>
    <col min="1" max="1" width="13.875" style="165" bestFit="1" customWidth="1"/>
    <col min="2" max="2" width="9" style="165"/>
    <col min="3" max="4" width="11.375" style="165" customWidth="1"/>
    <col min="5" max="5" width="11.75" style="165" bestFit="1" customWidth="1"/>
    <col min="6" max="9" width="10.875" style="165" bestFit="1" customWidth="1"/>
    <col min="10" max="10" width="11.25" style="165" bestFit="1" customWidth="1"/>
    <col min="11" max="11" width="10.875" style="165" customWidth="1"/>
    <col min="12" max="14" width="10" style="165" customWidth="1"/>
    <col min="15" max="15" width="13.625" style="165" bestFit="1" customWidth="1"/>
    <col min="16" max="256" width="9" style="165"/>
    <col min="257" max="257" width="13.875" style="165" bestFit="1" customWidth="1"/>
    <col min="258" max="258" width="9" style="165"/>
    <col min="259" max="260" width="11.375" style="165" customWidth="1"/>
    <col min="261" max="261" width="11.75" style="165" bestFit="1" customWidth="1"/>
    <col min="262" max="265" width="10.875" style="165" bestFit="1" customWidth="1"/>
    <col min="266" max="266" width="11.25" style="165" bestFit="1" customWidth="1"/>
    <col min="267" max="267" width="10.875" style="165" customWidth="1"/>
    <col min="268" max="270" width="10" style="165" customWidth="1"/>
    <col min="271" max="271" width="13.625" style="165" bestFit="1" customWidth="1"/>
    <col min="272" max="512" width="9" style="165"/>
    <col min="513" max="513" width="13.875" style="165" bestFit="1" customWidth="1"/>
    <col min="514" max="514" width="9" style="165"/>
    <col min="515" max="516" width="11.375" style="165" customWidth="1"/>
    <col min="517" max="517" width="11.75" style="165" bestFit="1" customWidth="1"/>
    <col min="518" max="521" width="10.875" style="165" bestFit="1" customWidth="1"/>
    <col min="522" max="522" width="11.25" style="165" bestFit="1" customWidth="1"/>
    <col min="523" max="523" width="10.875" style="165" customWidth="1"/>
    <col min="524" max="526" width="10" style="165" customWidth="1"/>
    <col min="527" max="527" width="13.625" style="165" bestFit="1" customWidth="1"/>
    <col min="528" max="768" width="9" style="165"/>
    <col min="769" max="769" width="13.875" style="165" bestFit="1" customWidth="1"/>
    <col min="770" max="770" width="9" style="165"/>
    <col min="771" max="772" width="11.375" style="165" customWidth="1"/>
    <col min="773" max="773" width="11.75" style="165" bestFit="1" customWidth="1"/>
    <col min="774" max="777" width="10.875" style="165" bestFit="1" customWidth="1"/>
    <col min="778" max="778" width="11.25" style="165" bestFit="1" customWidth="1"/>
    <col min="779" max="779" width="10.875" style="165" customWidth="1"/>
    <col min="780" max="782" width="10" style="165" customWidth="1"/>
    <col min="783" max="783" width="13.625" style="165" bestFit="1" customWidth="1"/>
    <col min="784" max="1024" width="9" style="165"/>
    <col min="1025" max="1025" width="13.875" style="165" bestFit="1" customWidth="1"/>
    <col min="1026" max="1026" width="9" style="165"/>
    <col min="1027" max="1028" width="11.375" style="165" customWidth="1"/>
    <col min="1029" max="1029" width="11.75" style="165" bestFit="1" customWidth="1"/>
    <col min="1030" max="1033" width="10.875" style="165" bestFit="1" customWidth="1"/>
    <col min="1034" max="1034" width="11.25" style="165" bestFit="1" customWidth="1"/>
    <col min="1035" max="1035" width="10.875" style="165" customWidth="1"/>
    <col min="1036" max="1038" width="10" style="165" customWidth="1"/>
    <col min="1039" max="1039" width="13.625" style="165" bestFit="1" customWidth="1"/>
    <col min="1040" max="1280" width="9" style="165"/>
    <col min="1281" max="1281" width="13.875" style="165" bestFit="1" customWidth="1"/>
    <col min="1282" max="1282" width="9" style="165"/>
    <col min="1283" max="1284" width="11.375" style="165" customWidth="1"/>
    <col min="1285" max="1285" width="11.75" style="165" bestFit="1" customWidth="1"/>
    <col min="1286" max="1289" width="10.875" style="165" bestFit="1" customWidth="1"/>
    <col min="1290" max="1290" width="11.25" style="165" bestFit="1" customWidth="1"/>
    <col min="1291" max="1291" width="10.875" style="165" customWidth="1"/>
    <col min="1292" max="1294" width="10" style="165" customWidth="1"/>
    <col min="1295" max="1295" width="13.625" style="165" bestFit="1" customWidth="1"/>
    <col min="1296" max="1536" width="9" style="165"/>
    <col min="1537" max="1537" width="13.875" style="165" bestFit="1" customWidth="1"/>
    <col min="1538" max="1538" width="9" style="165"/>
    <col min="1539" max="1540" width="11.375" style="165" customWidth="1"/>
    <col min="1541" max="1541" width="11.75" style="165" bestFit="1" customWidth="1"/>
    <col min="1542" max="1545" width="10.875" style="165" bestFit="1" customWidth="1"/>
    <col min="1546" max="1546" width="11.25" style="165" bestFit="1" customWidth="1"/>
    <col min="1547" max="1547" width="10.875" style="165" customWidth="1"/>
    <col min="1548" max="1550" width="10" style="165" customWidth="1"/>
    <col min="1551" max="1551" width="13.625" style="165" bestFit="1" customWidth="1"/>
    <col min="1552" max="1792" width="9" style="165"/>
    <col min="1793" max="1793" width="13.875" style="165" bestFit="1" customWidth="1"/>
    <col min="1794" max="1794" width="9" style="165"/>
    <col min="1795" max="1796" width="11.375" style="165" customWidth="1"/>
    <col min="1797" max="1797" width="11.75" style="165" bestFit="1" customWidth="1"/>
    <col min="1798" max="1801" width="10.875" style="165" bestFit="1" customWidth="1"/>
    <col min="1802" max="1802" width="11.25" style="165" bestFit="1" customWidth="1"/>
    <col min="1803" max="1803" width="10.875" style="165" customWidth="1"/>
    <col min="1804" max="1806" width="10" style="165" customWidth="1"/>
    <col min="1807" max="1807" width="13.625" style="165" bestFit="1" customWidth="1"/>
    <col min="1808" max="2048" width="9" style="165"/>
    <col min="2049" max="2049" width="13.875" style="165" bestFit="1" customWidth="1"/>
    <col min="2050" max="2050" width="9" style="165"/>
    <col min="2051" max="2052" width="11.375" style="165" customWidth="1"/>
    <col min="2053" max="2053" width="11.75" style="165" bestFit="1" customWidth="1"/>
    <col min="2054" max="2057" width="10.875" style="165" bestFit="1" customWidth="1"/>
    <col min="2058" max="2058" width="11.25" style="165" bestFit="1" customWidth="1"/>
    <col min="2059" max="2059" width="10.875" style="165" customWidth="1"/>
    <col min="2060" max="2062" width="10" style="165" customWidth="1"/>
    <col min="2063" max="2063" width="13.625" style="165" bestFit="1" customWidth="1"/>
    <col min="2064" max="2304" width="9" style="165"/>
    <col min="2305" max="2305" width="13.875" style="165" bestFit="1" customWidth="1"/>
    <col min="2306" max="2306" width="9" style="165"/>
    <col min="2307" max="2308" width="11.375" style="165" customWidth="1"/>
    <col min="2309" max="2309" width="11.75" style="165" bestFit="1" customWidth="1"/>
    <col min="2310" max="2313" width="10.875" style="165" bestFit="1" customWidth="1"/>
    <col min="2314" max="2314" width="11.25" style="165" bestFit="1" customWidth="1"/>
    <col min="2315" max="2315" width="10.875" style="165" customWidth="1"/>
    <col min="2316" max="2318" width="10" style="165" customWidth="1"/>
    <col min="2319" max="2319" width="13.625" style="165" bestFit="1" customWidth="1"/>
    <col min="2320" max="2560" width="9" style="165"/>
    <col min="2561" max="2561" width="13.875" style="165" bestFit="1" customWidth="1"/>
    <col min="2562" max="2562" width="9" style="165"/>
    <col min="2563" max="2564" width="11.375" style="165" customWidth="1"/>
    <col min="2565" max="2565" width="11.75" style="165" bestFit="1" customWidth="1"/>
    <col min="2566" max="2569" width="10.875" style="165" bestFit="1" customWidth="1"/>
    <col min="2570" max="2570" width="11.25" style="165" bestFit="1" customWidth="1"/>
    <col min="2571" max="2571" width="10.875" style="165" customWidth="1"/>
    <col min="2572" max="2574" width="10" style="165" customWidth="1"/>
    <col min="2575" max="2575" width="13.625" style="165" bestFit="1" customWidth="1"/>
    <col min="2576" max="2816" width="9" style="165"/>
    <col min="2817" max="2817" width="13.875" style="165" bestFit="1" customWidth="1"/>
    <col min="2818" max="2818" width="9" style="165"/>
    <col min="2819" max="2820" width="11.375" style="165" customWidth="1"/>
    <col min="2821" max="2821" width="11.75" style="165" bestFit="1" customWidth="1"/>
    <col min="2822" max="2825" width="10.875" style="165" bestFit="1" customWidth="1"/>
    <col min="2826" max="2826" width="11.25" style="165" bestFit="1" customWidth="1"/>
    <col min="2827" max="2827" width="10.875" style="165" customWidth="1"/>
    <col min="2828" max="2830" width="10" style="165" customWidth="1"/>
    <col min="2831" max="2831" width="13.625" style="165" bestFit="1" customWidth="1"/>
    <col min="2832" max="3072" width="9" style="165"/>
    <col min="3073" max="3073" width="13.875" style="165" bestFit="1" customWidth="1"/>
    <col min="3074" max="3074" width="9" style="165"/>
    <col min="3075" max="3076" width="11.375" style="165" customWidth="1"/>
    <col min="3077" max="3077" width="11.75" style="165" bestFit="1" customWidth="1"/>
    <col min="3078" max="3081" width="10.875" style="165" bestFit="1" customWidth="1"/>
    <col min="3082" max="3082" width="11.25" style="165" bestFit="1" customWidth="1"/>
    <col min="3083" max="3083" width="10.875" style="165" customWidth="1"/>
    <col min="3084" max="3086" width="10" style="165" customWidth="1"/>
    <col min="3087" max="3087" width="13.625" style="165" bestFit="1" customWidth="1"/>
    <col min="3088" max="3328" width="9" style="165"/>
    <col min="3329" max="3329" width="13.875" style="165" bestFit="1" customWidth="1"/>
    <col min="3330" max="3330" width="9" style="165"/>
    <col min="3331" max="3332" width="11.375" style="165" customWidth="1"/>
    <col min="3333" max="3333" width="11.75" style="165" bestFit="1" customWidth="1"/>
    <col min="3334" max="3337" width="10.875" style="165" bestFit="1" customWidth="1"/>
    <col min="3338" max="3338" width="11.25" style="165" bestFit="1" customWidth="1"/>
    <col min="3339" max="3339" width="10.875" style="165" customWidth="1"/>
    <col min="3340" max="3342" width="10" style="165" customWidth="1"/>
    <col min="3343" max="3343" width="13.625" style="165" bestFit="1" customWidth="1"/>
    <col min="3344" max="3584" width="9" style="165"/>
    <col min="3585" max="3585" width="13.875" style="165" bestFit="1" customWidth="1"/>
    <col min="3586" max="3586" width="9" style="165"/>
    <col min="3587" max="3588" width="11.375" style="165" customWidth="1"/>
    <col min="3589" max="3589" width="11.75" style="165" bestFit="1" customWidth="1"/>
    <col min="3590" max="3593" width="10.875" style="165" bestFit="1" customWidth="1"/>
    <col min="3594" max="3594" width="11.25" style="165" bestFit="1" customWidth="1"/>
    <col min="3595" max="3595" width="10.875" style="165" customWidth="1"/>
    <col min="3596" max="3598" width="10" style="165" customWidth="1"/>
    <col min="3599" max="3599" width="13.625" style="165" bestFit="1" customWidth="1"/>
    <col min="3600" max="3840" width="9" style="165"/>
    <col min="3841" max="3841" width="13.875" style="165" bestFit="1" customWidth="1"/>
    <col min="3842" max="3842" width="9" style="165"/>
    <col min="3843" max="3844" width="11.375" style="165" customWidth="1"/>
    <col min="3845" max="3845" width="11.75" style="165" bestFit="1" customWidth="1"/>
    <col min="3846" max="3849" width="10.875" style="165" bestFit="1" customWidth="1"/>
    <col min="3850" max="3850" width="11.25" style="165" bestFit="1" customWidth="1"/>
    <col min="3851" max="3851" width="10.875" style="165" customWidth="1"/>
    <col min="3852" max="3854" width="10" style="165" customWidth="1"/>
    <col min="3855" max="3855" width="13.625" style="165" bestFit="1" customWidth="1"/>
    <col min="3856" max="4096" width="9" style="165"/>
    <col min="4097" max="4097" width="13.875" style="165" bestFit="1" customWidth="1"/>
    <col min="4098" max="4098" width="9" style="165"/>
    <col min="4099" max="4100" width="11.375" style="165" customWidth="1"/>
    <col min="4101" max="4101" width="11.75" style="165" bestFit="1" customWidth="1"/>
    <col min="4102" max="4105" width="10.875" style="165" bestFit="1" customWidth="1"/>
    <col min="4106" max="4106" width="11.25" style="165" bestFit="1" customWidth="1"/>
    <col min="4107" max="4107" width="10.875" style="165" customWidth="1"/>
    <col min="4108" max="4110" width="10" style="165" customWidth="1"/>
    <col min="4111" max="4111" width="13.625" style="165" bestFit="1" customWidth="1"/>
    <col min="4112" max="4352" width="9" style="165"/>
    <col min="4353" max="4353" width="13.875" style="165" bestFit="1" customWidth="1"/>
    <col min="4354" max="4354" width="9" style="165"/>
    <col min="4355" max="4356" width="11.375" style="165" customWidth="1"/>
    <col min="4357" max="4357" width="11.75" style="165" bestFit="1" customWidth="1"/>
    <col min="4358" max="4361" width="10.875" style="165" bestFit="1" customWidth="1"/>
    <col min="4362" max="4362" width="11.25" style="165" bestFit="1" customWidth="1"/>
    <col min="4363" max="4363" width="10.875" style="165" customWidth="1"/>
    <col min="4364" max="4366" width="10" style="165" customWidth="1"/>
    <col min="4367" max="4367" width="13.625" style="165" bestFit="1" customWidth="1"/>
    <col min="4368" max="4608" width="9" style="165"/>
    <col min="4609" max="4609" width="13.875" style="165" bestFit="1" customWidth="1"/>
    <col min="4610" max="4610" width="9" style="165"/>
    <col min="4611" max="4612" width="11.375" style="165" customWidth="1"/>
    <col min="4613" max="4613" width="11.75" style="165" bestFit="1" customWidth="1"/>
    <col min="4614" max="4617" width="10.875" style="165" bestFit="1" customWidth="1"/>
    <col min="4618" max="4618" width="11.25" style="165" bestFit="1" customWidth="1"/>
    <col min="4619" max="4619" width="10.875" style="165" customWidth="1"/>
    <col min="4620" max="4622" width="10" style="165" customWidth="1"/>
    <col min="4623" max="4623" width="13.625" style="165" bestFit="1" customWidth="1"/>
    <col min="4624" max="4864" width="9" style="165"/>
    <col min="4865" max="4865" width="13.875" style="165" bestFit="1" customWidth="1"/>
    <col min="4866" max="4866" width="9" style="165"/>
    <col min="4867" max="4868" width="11.375" style="165" customWidth="1"/>
    <col min="4869" max="4869" width="11.75" style="165" bestFit="1" customWidth="1"/>
    <col min="4870" max="4873" width="10.875" style="165" bestFit="1" customWidth="1"/>
    <col min="4874" max="4874" width="11.25" style="165" bestFit="1" customWidth="1"/>
    <col min="4875" max="4875" width="10.875" style="165" customWidth="1"/>
    <col min="4876" max="4878" width="10" style="165" customWidth="1"/>
    <col min="4879" max="4879" width="13.625" style="165" bestFit="1" customWidth="1"/>
    <col min="4880" max="5120" width="9" style="165"/>
    <col min="5121" max="5121" width="13.875" style="165" bestFit="1" customWidth="1"/>
    <col min="5122" max="5122" width="9" style="165"/>
    <col min="5123" max="5124" width="11.375" style="165" customWidth="1"/>
    <col min="5125" max="5125" width="11.75" style="165" bestFit="1" customWidth="1"/>
    <col min="5126" max="5129" width="10.875" style="165" bestFit="1" customWidth="1"/>
    <col min="5130" max="5130" width="11.25" style="165" bestFit="1" customWidth="1"/>
    <col min="5131" max="5131" width="10.875" style="165" customWidth="1"/>
    <col min="5132" max="5134" width="10" style="165" customWidth="1"/>
    <col min="5135" max="5135" width="13.625" style="165" bestFit="1" customWidth="1"/>
    <col min="5136" max="5376" width="9" style="165"/>
    <col min="5377" max="5377" width="13.875" style="165" bestFit="1" customWidth="1"/>
    <col min="5378" max="5378" width="9" style="165"/>
    <col min="5379" max="5380" width="11.375" style="165" customWidth="1"/>
    <col min="5381" max="5381" width="11.75" style="165" bestFit="1" customWidth="1"/>
    <col min="5382" max="5385" width="10.875" style="165" bestFit="1" customWidth="1"/>
    <col min="5386" max="5386" width="11.25" style="165" bestFit="1" customWidth="1"/>
    <col min="5387" max="5387" width="10.875" style="165" customWidth="1"/>
    <col min="5388" max="5390" width="10" style="165" customWidth="1"/>
    <col min="5391" max="5391" width="13.625" style="165" bestFit="1" customWidth="1"/>
    <col min="5392" max="5632" width="9" style="165"/>
    <col min="5633" max="5633" width="13.875" style="165" bestFit="1" customWidth="1"/>
    <col min="5634" max="5634" width="9" style="165"/>
    <col min="5635" max="5636" width="11.375" style="165" customWidth="1"/>
    <col min="5637" max="5637" width="11.75" style="165" bestFit="1" customWidth="1"/>
    <col min="5638" max="5641" width="10.875" style="165" bestFit="1" customWidth="1"/>
    <col min="5642" max="5642" width="11.25" style="165" bestFit="1" customWidth="1"/>
    <col min="5643" max="5643" width="10.875" style="165" customWidth="1"/>
    <col min="5644" max="5646" width="10" style="165" customWidth="1"/>
    <col min="5647" max="5647" width="13.625" style="165" bestFit="1" customWidth="1"/>
    <col min="5648" max="5888" width="9" style="165"/>
    <col min="5889" max="5889" width="13.875" style="165" bestFit="1" customWidth="1"/>
    <col min="5890" max="5890" width="9" style="165"/>
    <col min="5891" max="5892" width="11.375" style="165" customWidth="1"/>
    <col min="5893" max="5893" width="11.75" style="165" bestFit="1" customWidth="1"/>
    <col min="5894" max="5897" width="10.875" style="165" bestFit="1" customWidth="1"/>
    <col min="5898" max="5898" width="11.25" style="165" bestFit="1" customWidth="1"/>
    <col min="5899" max="5899" width="10.875" style="165" customWidth="1"/>
    <col min="5900" max="5902" width="10" style="165" customWidth="1"/>
    <col min="5903" max="5903" width="13.625" style="165" bestFit="1" customWidth="1"/>
    <col min="5904" max="6144" width="9" style="165"/>
    <col min="6145" max="6145" width="13.875" style="165" bestFit="1" customWidth="1"/>
    <col min="6146" max="6146" width="9" style="165"/>
    <col min="6147" max="6148" width="11.375" style="165" customWidth="1"/>
    <col min="6149" max="6149" width="11.75" style="165" bestFit="1" customWidth="1"/>
    <col min="6150" max="6153" width="10.875" style="165" bestFit="1" customWidth="1"/>
    <col min="6154" max="6154" width="11.25" style="165" bestFit="1" customWidth="1"/>
    <col min="6155" max="6155" width="10.875" style="165" customWidth="1"/>
    <col min="6156" max="6158" width="10" style="165" customWidth="1"/>
    <col min="6159" max="6159" width="13.625" style="165" bestFit="1" customWidth="1"/>
    <col min="6160" max="6400" width="9" style="165"/>
    <col min="6401" max="6401" width="13.875" style="165" bestFit="1" customWidth="1"/>
    <col min="6402" max="6402" width="9" style="165"/>
    <col min="6403" max="6404" width="11.375" style="165" customWidth="1"/>
    <col min="6405" max="6405" width="11.75" style="165" bestFit="1" customWidth="1"/>
    <col min="6406" max="6409" width="10.875" style="165" bestFit="1" customWidth="1"/>
    <col min="6410" max="6410" width="11.25" style="165" bestFit="1" customWidth="1"/>
    <col min="6411" max="6411" width="10.875" style="165" customWidth="1"/>
    <col min="6412" max="6414" width="10" style="165" customWidth="1"/>
    <col min="6415" max="6415" width="13.625" style="165" bestFit="1" customWidth="1"/>
    <col min="6416" max="6656" width="9" style="165"/>
    <col min="6657" max="6657" width="13.875" style="165" bestFit="1" customWidth="1"/>
    <col min="6658" max="6658" width="9" style="165"/>
    <col min="6659" max="6660" width="11.375" style="165" customWidth="1"/>
    <col min="6661" max="6661" width="11.75" style="165" bestFit="1" customWidth="1"/>
    <col min="6662" max="6665" width="10.875" style="165" bestFit="1" customWidth="1"/>
    <col min="6666" max="6666" width="11.25" style="165" bestFit="1" customWidth="1"/>
    <col min="6667" max="6667" width="10.875" style="165" customWidth="1"/>
    <col min="6668" max="6670" width="10" style="165" customWidth="1"/>
    <col min="6671" max="6671" width="13.625" style="165" bestFit="1" customWidth="1"/>
    <col min="6672" max="6912" width="9" style="165"/>
    <col min="6913" max="6913" width="13.875" style="165" bestFit="1" customWidth="1"/>
    <col min="6914" max="6914" width="9" style="165"/>
    <col min="6915" max="6916" width="11.375" style="165" customWidth="1"/>
    <col min="6917" max="6917" width="11.75" style="165" bestFit="1" customWidth="1"/>
    <col min="6918" max="6921" width="10.875" style="165" bestFit="1" customWidth="1"/>
    <col min="6922" max="6922" width="11.25" style="165" bestFit="1" customWidth="1"/>
    <col min="6923" max="6923" width="10.875" style="165" customWidth="1"/>
    <col min="6924" max="6926" width="10" style="165" customWidth="1"/>
    <col min="6927" max="6927" width="13.625" style="165" bestFit="1" customWidth="1"/>
    <col min="6928" max="7168" width="9" style="165"/>
    <col min="7169" max="7169" width="13.875" style="165" bestFit="1" customWidth="1"/>
    <col min="7170" max="7170" width="9" style="165"/>
    <col min="7171" max="7172" width="11.375" style="165" customWidth="1"/>
    <col min="7173" max="7173" width="11.75" style="165" bestFit="1" customWidth="1"/>
    <col min="7174" max="7177" width="10.875" style="165" bestFit="1" customWidth="1"/>
    <col min="7178" max="7178" width="11.25" style="165" bestFit="1" customWidth="1"/>
    <col min="7179" max="7179" width="10.875" style="165" customWidth="1"/>
    <col min="7180" max="7182" width="10" style="165" customWidth="1"/>
    <col min="7183" max="7183" width="13.625" style="165" bestFit="1" customWidth="1"/>
    <col min="7184" max="7424" width="9" style="165"/>
    <col min="7425" max="7425" width="13.875" style="165" bestFit="1" customWidth="1"/>
    <col min="7426" max="7426" width="9" style="165"/>
    <col min="7427" max="7428" width="11.375" style="165" customWidth="1"/>
    <col min="7429" max="7429" width="11.75" style="165" bestFit="1" customWidth="1"/>
    <col min="7430" max="7433" width="10.875" style="165" bestFit="1" customWidth="1"/>
    <col min="7434" max="7434" width="11.25" style="165" bestFit="1" customWidth="1"/>
    <col min="7435" max="7435" width="10.875" style="165" customWidth="1"/>
    <col min="7436" max="7438" width="10" style="165" customWidth="1"/>
    <col min="7439" max="7439" width="13.625" style="165" bestFit="1" customWidth="1"/>
    <col min="7440" max="7680" width="9" style="165"/>
    <col min="7681" max="7681" width="13.875" style="165" bestFit="1" customWidth="1"/>
    <col min="7682" max="7682" width="9" style="165"/>
    <col min="7683" max="7684" width="11.375" style="165" customWidth="1"/>
    <col min="7685" max="7685" width="11.75" style="165" bestFit="1" customWidth="1"/>
    <col min="7686" max="7689" width="10.875" style="165" bestFit="1" customWidth="1"/>
    <col min="7690" max="7690" width="11.25" style="165" bestFit="1" customWidth="1"/>
    <col min="7691" max="7691" width="10.875" style="165" customWidth="1"/>
    <col min="7692" max="7694" width="10" style="165" customWidth="1"/>
    <col min="7695" max="7695" width="13.625" style="165" bestFit="1" customWidth="1"/>
    <col min="7696" max="7936" width="9" style="165"/>
    <col min="7937" max="7937" width="13.875" style="165" bestFit="1" customWidth="1"/>
    <col min="7938" max="7938" width="9" style="165"/>
    <col min="7939" max="7940" width="11.375" style="165" customWidth="1"/>
    <col min="7941" max="7941" width="11.75" style="165" bestFit="1" customWidth="1"/>
    <col min="7942" max="7945" width="10.875" style="165" bestFit="1" customWidth="1"/>
    <col min="7946" max="7946" width="11.25" style="165" bestFit="1" customWidth="1"/>
    <col min="7947" max="7947" width="10.875" style="165" customWidth="1"/>
    <col min="7948" max="7950" width="10" style="165" customWidth="1"/>
    <col min="7951" max="7951" width="13.625" style="165" bestFit="1" customWidth="1"/>
    <col min="7952" max="8192" width="9" style="165"/>
    <col min="8193" max="8193" width="13.875" style="165" bestFit="1" customWidth="1"/>
    <col min="8194" max="8194" width="9" style="165"/>
    <col min="8195" max="8196" width="11.375" style="165" customWidth="1"/>
    <col min="8197" max="8197" width="11.75" style="165" bestFit="1" customWidth="1"/>
    <col min="8198" max="8201" width="10.875" style="165" bestFit="1" customWidth="1"/>
    <col min="8202" max="8202" width="11.25" style="165" bestFit="1" customWidth="1"/>
    <col min="8203" max="8203" width="10.875" style="165" customWidth="1"/>
    <col min="8204" max="8206" width="10" style="165" customWidth="1"/>
    <col min="8207" max="8207" width="13.625" style="165" bestFit="1" customWidth="1"/>
    <col min="8208" max="8448" width="9" style="165"/>
    <col min="8449" max="8449" width="13.875" style="165" bestFit="1" customWidth="1"/>
    <col min="8450" max="8450" width="9" style="165"/>
    <col min="8451" max="8452" width="11.375" style="165" customWidth="1"/>
    <col min="8453" max="8453" width="11.75" style="165" bestFit="1" customWidth="1"/>
    <col min="8454" max="8457" width="10.875" style="165" bestFit="1" customWidth="1"/>
    <col min="8458" max="8458" width="11.25" style="165" bestFit="1" customWidth="1"/>
    <col min="8459" max="8459" width="10.875" style="165" customWidth="1"/>
    <col min="8460" max="8462" width="10" style="165" customWidth="1"/>
    <col min="8463" max="8463" width="13.625" style="165" bestFit="1" customWidth="1"/>
    <col min="8464" max="8704" width="9" style="165"/>
    <col min="8705" max="8705" width="13.875" style="165" bestFit="1" customWidth="1"/>
    <col min="8706" max="8706" width="9" style="165"/>
    <col min="8707" max="8708" width="11.375" style="165" customWidth="1"/>
    <col min="8709" max="8709" width="11.75" style="165" bestFit="1" customWidth="1"/>
    <col min="8710" max="8713" width="10.875" style="165" bestFit="1" customWidth="1"/>
    <col min="8714" max="8714" width="11.25" style="165" bestFit="1" customWidth="1"/>
    <col min="8715" max="8715" width="10.875" style="165" customWidth="1"/>
    <col min="8716" max="8718" width="10" style="165" customWidth="1"/>
    <col min="8719" max="8719" width="13.625" style="165" bestFit="1" customWidth="1"/>
    <col min="8720" max="8960" width="9" style="165"/>
    <col min="8961" max="8961" width="13.875" style="165" bestFit="1" customWidth="1"/>
    <col min="8962" max="8962" width="9" style="165"/>
    <col min="8963" max="8964" width="11.375" style="165" customWidth="1"/>
    <col min="8965" max="8965" width="11.75" style="165" bestFit="1" customWidth="1"/>
    <col min="8966" max="8969" width="10.875" style="165" bestFit="1" customWidth="1"/>
    <col min="8970" max="8970" width="11.25" style="165" bestFit="1" customWidth="1"/>
    <col min="8971" max="8971" width="10.875" style="165" customWidth="1"/>
    <col min="8972" max="8974" width="10" style="165" customWidth="1"/>
    <col min="8975" max="8975" width="13.625" style="165" bestFit="1" customWidth="1"/>
    <col min="8976" max="9216" width="9" style="165"/>
    <col min="9217" max="9217" width="13.875" style="165" bestFit="1" customWidth="1"/>
    <col min="9218" max="9218" width="9" style="165"/>
    <col min="9219" max="9220" width="11.375" style="165" customWidth="1"/>
    <col min="9221" max="9221" width="11.75" style="165" bestFit="1" customWidth="1"/>
    <col min="9222" max="9225" width="10.875" style="165" bestFit="1" customWidth="1"/>
    <col min="9226" max="9226" width="11.25" style="165" bestFit="1" customWidth="1"/>
    <col min="9227" max="9227" width="10.875" style="165" customWidth="1"/>
    <col min="9228" max="9230" width="10" style="165" customWidth="1"/>
    <col min="9231" max="9231" width="13.625" style="165" bestFit="1" customWidth="1"/>
    <col min="9232" max="9472" width="9" style="165"/>
    <col min="9473" max="9473" width="13.875" style="165" bestFit="1" customWidth="1"/>
    <col min="9474" max="9474" width="9" style="165"/>
    <col min="9475" max="9476" width="11.375" style="165" customWidth="1"/>
    <col min="9477" max="9477" width="11.75" style="165" bestFit="1" customWidth="1"/>
    <col min="9478" max="9481" width="10.875" style="165" bestFit="1" customWidth="1"/>
    <col min="9482" max="9482" width="11.25" style="165" bestFit="1" customWidth="1"/>
    <col min="9483" max="9483" width="10.875" style="165" customWidth="1"/>
    <col min="9484" max="9486" width="10" style="165" customWidth="1"/>
    <col min="9487" max="9487" width="13.625" style="165" bestFit="1" customWidth="1"/>
    <col min="9488" max="9728" width="9" style="165"/>
    <col min="9729" max="9729" width="13.875" style="165" bestFit="1" customWidth="1"/>
    <col min="9730" max="9730" width="9" style="165"/>
    <col min="9731" max="9732" width="11.375" style="165" customWidth="1"/>
    <col min="9733" max="9733" width="11.75" style="165" bestFit="1" customWidth="1"/>
    <col min="9734" max="9737" width="10.875" style="165" bestFit="1" customWidth="1"/>
    <col min="9738" max="9738" width="11.25" style="165" bestFit="1" customWidth="1"/>
    <col min="9739" max="9739" width="10.875" style="165" customWidth="1"/>
    <col min="9740" max="9742" width="10" style="165" customWidth="1"/>
    <col min="9743" max="9743" width="13.625" style="165" bestFit="1" customWidth="1"/>
    <col min="9744" max="9984" width="9" style="165"/>
    <col min="9985" max="9985" width="13.875" style="165" bestFit="1" customWidth="1"/>
    <col min="9986" max="9986" width="9" style="165"/>
    <col min="9987" max="9988" width="11.375" style="165" customWidth="1"/>
    <col min="9989" max="9989" width="11.75" style="165" bestFit="1" customWidth="1"/>
    <col min="9990" max="9993" width="10.875" style="165" bestFit="1" customWidth="1"/>
    <col min="9994" max="9994" width="11.25" style="165" bestFit="1" customWidth="1"/>
    <col min="9995" max="9995" width="10.875" style="165" customWidth="1"/>
    <col min="9996" max="9998" width="10" style="165" customWidth="1"/>
    <col min="9999" max="9999" width="13.625" style="165" bestFit="1" customWidth="1"/>
    <col min="10000" max="10240" width="9" style="165"/>
    <col min="10241" max="10241" width="13.875" style="165" bestFit="1" customWidth="1"/>
    <col min="10242" max="10242" width="9" style="165"/>
    <col min="10243" max="10244" width="11.375" style="165" customWidth="1"/>
    <col min="10245" max="10245" width="11.75" style="165" bestFit="1" customWidth="1"/>
    <col min="10246" max="10249" width="10.875" style="165" bestFit="1" customWidth="1"/>
    <col min="10250" max="10250" width="11.25" style="165" bestFit="1" customWidth="1"/>
    <col min="10251" max="10251" width="10.875" style="165" customWidth="1"/>
    <col min="10252" max="10254" width="10" style="165" customWidth="1"/>
    <col min="10255" max="10255" width="13.625" style="165" bestFit="1" customWidth="1"/>
    <col min="10256" max="10496" width="9" style="165"/>
    <col min="10497" max="10497" width="13.875" style="165" bestFit="1" customWidth="1"/>
    <col min="10498" max="10498" width="9" style="165"/>
    <col min="10499" max="10500" width="11.375" style="165" customWidth="1"/>
    <col min="10501" max="10501" width="11.75" style="165" bestFit="1" customWidth="1"/>
    <col min="10502" max="10505" width="10.875" style="165" bestFit="1" customWidth="1"/>
    <col min="10506" max="10506" width="11.25" style="165" bestFit="1" customWidth="1"/>
    <col min="10507" max="10507" width="10.875" style="165" customWidth="1"/>
    <col min="10508" max="10510" width="10" style="165" customWidth="1"/>
    <col min="10511" max="10511" width="13.625" style="165" bestFit="1" customWidth="1"/>
    <col min="10512" max="10752" width="9" style="165"/>
    <col min="10753" max="10753" width="13.875" style="165" bestFit="1" customWidth="1"/>
    <col min="10754" max="10754" width="9" style="165"/>
    <col min="10755" max="10756" width="11.375" style="165" customWidth="1"/>
    <col min="10757" max="10757" width="11.75" style="165" bestFit="1" customWidth="1"/>
    <col min="10758" max="10761" width="10.875" style="165" bestFit="1" customWidth="1"/>
    <col min="10762" max="10762" width="11.25" style="165" bestFit="1" customWidth="1"/>
    <col min="10763" max="10763" width="10.875" style="165" customWidth="1"/>
    <col min="10764" max="10766" width="10" style="165" customWidth="1"/>
    <col min="10767" max="10767" width="13.625" style="165" bestFit="1" customWidth="1"/>
    <col min="10768" max="11008" width="9" style="165"/>
    <col min="11009" max="11009" width="13.875" style="165" bestFit="1" customWidth="1"/>
    <col min="11010" max="11010" width="9" style="165"/>
    <col min="11011" max="11012" width="11.375" style="165" customWidth="1"/>
    <col min="11013" max="11013" width="11.75" style="165" bestFit="1" customWidth="1"/>
    <col min="11014" max="11017" width="10.875" style="165" bestFit="1" customWidth="1"/>
    <col min="11018" max="11018" width="11.25" style="165" bestFit="1" customWidth="1"/>
    <col min="11019" max="11019" width="10.875" style="165" customWidth="1"/>
    <col min="11020" max="11022" width="10" style="165" customWidth="1"/>
    <col min="11023" max="11023" width="13.625" style="165" bestFit="1" customWidth="1"/>
    <col min="11024" max="11264" width="9" style="165"/>
    <col min="11265" max="11265" width="13.875" style="165" bestFit="1" customWidth="1"/>
    <col min="11266" max="11266" width="9" style="165"/>
    <col min="11267" max="11268" width="11.375" style="165" customWidth="1"/>
    <col min="11269" max="11269" width="11.75" style="165" bestFit="1" customWidth="1"/>
    <col min="11270" max="11273" width="10.875" style="165" bestFit="1" customWidth="1"/>
    <col min="11274" max="11274" width="11.25" style="165" bestFit="1" customWidth="1"/>
    <col min="11275" max="11275" width="10.875" style="165" customWidth="1"/>
    <col min="11276" max="11278" width="10" style="165" customWidth="1"/>
    <col min="11279" max="11279" width="13.625" style="165" bestFit="1" customWidth="1"/>
    <col min="11280" max="11520" width="9" style="165"/>
    <col min="11521" max="11521" width="13.875" style="165" bestFit="1" customWidth="1"/>
    <col min="11522" max="11522" width="9" style="165"/>
    <col min="11523" max="11524" width="11.375" style="165" customWidth="1"/>
    <col min="11525" max="11525" width="11.75" style="165" bestFit="1" customWidth="1"/>
    <col min="11526" max="11529" width="10.875" style="165" bestFit="1" customWidth="1"/>
    <col min="11530" max="11530" width="11.25" style="165" bestFit="1" customWidth="1"/>
    <col min="11531" max="11531" width="10.875" style="165" customWidth="1"/>
    <col min="11532" max="11534" width="10" style="165" customWidth="1"/>
    <col min="11535" max="11535" width="13.625" style="165" bestFit="1" customWidth="1"/>
    <col min="11536" max="11776" width="9" style="165"/>
    <col min="11777" max="11777" width="13.875" style="165" bestFit="1" customWidth="1"/>
    <col min="11778" max="11778" width="9" style="165"/>
    <col min="11779" max="11780" width="11.375" style="165" customWidth="1"/>
    <col min="11781" max="11781" width="11.75" style="165" bestFit="1" customWidth="1"/>
    <col min="11782" max="11785" width="10.875" style="165" bestFit="1" customWidth="1"/>
    <col min="11786" max="11786" width="11.25" style="165" bestFit="1" customWidth="1"/>
    <col min="11787" max="11787" width="10.875" style="165" customWidth="1"/>
    <col min="11788" max="11790" width="10" style="165" customWidth="1"/>
    <col min="11791" max="11791" width="13.625" style="165" bestFit="1" customWidth="1"/>
    <col min="11792" max="12032" width="9" style="165"/>
    <col min="12033" max="12033" width="13.875" style="165" bestFit="1" customWidth="1"/>
    <col min="12034" max="12034" width="9" style="165"/>
    <col min="12035" max="12036" width="11.375" style="165" customWidth="1"/>
    <col min="12037" max="12037" width="11.75" style="165" bestFit="1" customWidth="1"/>
    <col min="12038" max="12041" width="10.875" style="165" bestFit="1" customWidth="1"/>
    <col min="12042" max="12042" width="11.25" style="165" bestFit="1" customWidth="1"/>
    <col min="12043" max="12043" width="10.875" style="165" customWidth="1"/>
    <col min="12044" max="12046" width="10" style="165" customWidth="1"/>
    <col min="12047" max="12047" width="13.625" style="165" bestFit="1" customWidth="1"/>
    <col min="12048" max="12288" width="9" style="165"/>
    <col min="12289" max="12289" width="13.875" style="165" bestFit="1" customWidth="1"/>
    <col min="12290" max="12290" width="9" style="165"/>
    <col min="12291" max="12292" width="11.375" style="165" customWidth="1"/>
    <col min="12293" max="12293" width="11.75" style="165" bestFit="1" customWidth="1"/>
    <col min="12294" max="12297" width="10.875" style="165" bestFit="1" customWidth="1"/>
    <col min="12298" max="12298" width="11.25" style="165" bestFit="1" customWidth="1"/>
    <col min="12299" max="12299" width="10.875" style="165" customWidth="1"/>
    <col min="12300" max="12302" width="10" style="165" customWidth="1"/>
    <col min="12303" max="12303" width="13.625" style="165" bestFit="1" customWidth="1"/>
    <col min="12304" max="12544" width="9" style="165"/>
    <col min="12545" max="12545" width="13.875" style="165" bestFit="1" customWidth="1"/>
    <col min="12546" max="12546" width="9" style="165"/>
    <col min="12547" max="12548" width="11.375" style="165" customWidth="1"/>
    <col min="12549" max="12549" width="11.75" style="165" bestFit="1" customWidth="1"/>
    <col min="12550" max="12553" width="10.875" style="165" bestFit="1" customWidth="1"/>
    <col min="12554" max="12554" width="11.25" style="165" bestFit="1" customWidth="1"/>
    <col min="12555" max="12555" width="10.875" style="165" customWidth="1"/>
    <col min="12556" max="12558" width="10" style="165" customWidth="1"/>
    <col min="12559" max="12559" width="13.625" style="165" bestFit="1" customWidth="1"/>
    <col min="12560" max="12800" width="9" style="165"/>
    <col min="12801" max="12801" width="13.875" style="165" bestFit="1" customWidth="1"/>
    <col min="12802" max="12802" width="9" style="165"/>
    <col min="12803" max="12804" width="11.375" style="165" customWidth="1"/>
    <col min="12805" max="12805" width="11.75" style="165" bestFit="1" customWidth="1"/>
    <col min="12806" max="12809" width="10.875" style="165" bestFit="1" customWidth="1"/>
    <col min="12810" max="12810" width="11.25" style="165" bestFit="1" customWidth="1"/>
    <col min="12811" max="12811" width="10.875" style="165" customWidth="1"/>
    <col min="12812" max="12814" width="10" style="165" customWidth="1"/>
    <col min="12815" max="12815" width="13.625" style="165" bestFit="1" customWidth="1"/>
    <col min="12816" max="13056" width="9" style="165"/>
    <col min="13057" max="13057" width="13.875" style="165" bestFit="1" customWidth="1"/>
    <col min="13058" max="13058" width="9" style="165"/>
    <col min="13059" max="13060" width="11.375" style="165" customWidth="1"/>
    <col min="13061" max="13061" width="11.75" style="165" bestFit="1" customWidth="1"/>
    <col min="13062" max="13065" width="10.875" style="165" bestFit="1" customWidth="1"/>
    <col min="13066" max="13066" width="11.25" style="165" bestFit="1" customWidth="1"/>
    <col min="13067" max="13067" width="10.875" style="165" customWidth="1"/>
    <col min="13068" max="13070" width="10" style="165" customWidth="1"/>
    <col min="13071" max="13071" width="13.625" style="165" bestFit="1" customWidth="1"/>
    <col min="13072" max="13312" width="9" style="165"/>
    <col min="13313" max="13313" width="13.875" style="165" bestFit="1" customWidth="1"/>
    <col min="13314" max="13314" width="9" style="165"/>
    <col min="13315" max="13316" width="11.375" style="165" customWidth="1"/>
    <col min="13317" max="13317" width="11.75" style="165" bestFit="1" customWidth="1"/>
    <col min="13318" max="13321" width="10.875" style="165" bestFit="1" customWidth="1"/>
    <col min="13322" max="13322" width="11.25" style="165" bestFit="1" customWidth="1"/>
    <col min="13323" max="13323" width="10.875" style="165" customWidth="1"/>
    <col min="13324" max="13326" width="10" style="165" customWidth="1"/>
    <col min="13327" max="13327" width="13.625" style="165" bestFit="1" customWidth="1"/>
    <col min="13328" max="13568" width="9" style="165"/>
    <col min="13569" max="13569" width="13.875" style="165" bestFit="1" customWidth="1"/>
    <col min="13570" max="13570" width="9" style="165"/>
    <col min="13571" max="13572" width="11.375" style="165" customWidth="1"/>
    <col min="13573" max="13573" width="11.75" style="165" bestFit="1" customWidth="1"/>
    <col min="13574" max="13577" width="10.875" style="165" bestFit="1" customWidth="1"/>
    <col min="13578" max="13578" width="11.25" style="165" bestFit="1" customWidth="1"/>
    <col min="13579" max="13579" width="10.875" style="165" customWidth="1"/>
    <col min="13580" max="13582" width="10" style="165" customWidth="1"/>
    <col min="13583" max="13583" width="13.625" style="165" bestFit="1" customWidth="1"/>
    <col min="13584" max="13824" width="9" style="165"/>
    <col min="13825" max="13825" width="13.875" style="165" bestFit="1" customWidth="1"/>
    <col min="13826" max="13826" width="9" style="165"/>
    <col min="13827" max="13828" width="11.375" style="165" customWidth="1"/>
    <col min="13829" max="13829" width="11.75" style="165" bestFit="1" customWidth="1"/>
    <col min="13830" max="13833" width="10.875" style="165" bestFit="1" customWidth="1"/>
    <col min="13834" max="13834" width="11.25" style="165" bestFit="1" customWidth="1"/>
    <col min="13835" max="13835" width="10.875" style="165" customWidth="1"/>
    <col min="13836" max="13838" width="10" style="165" customWidth="1"/>
    <col min="13839" max="13839" width="13.625" style="165" bestFit="1" customWidth="1"/>
    <col min="13840" max="14080" width="9" style="165"/>
    <col min="14081" max="14081" width="13.875" style="165" bestFit="1" customWidth="1"/>
    <col min="14082" max="14082" width="9" style="165"/>
    <col min="14083" max="14084" width="11.375" style="165" customWidth="1"/>
    <col min="14085" max="14085" width="11.75" style="165" bestFit="1" customWidth="1"/>
    <col min="14086" max="14089" width="10.875" style="165" bestFit="1" customWidth="1"/>
    <col min="14090" max="14090" width="11.25" style="165" bestFit="1" customWidth="1"/>
    <col min="14091" max="14091" width="10.875" style="165" customWidth="1"/>
    <col min="14092" max="14094" width="10" style="165" customWidth="1"/>
    <col min="14095" max="14095" width="13.625" style="165" bestFit="1" customWidth="1"/>
    <col min="14096" max="14336" width="9" style="165"/>
    <col min="14337" max="14337" width="13.875" style="165" bestFit="1" customWidth="1"/>
    <col min="14338" max="14338" width="9" style="165"/>
    <col min="14339" max="14340" width="11.375" style="165" customWidth="1"/>
    <col min="14341" max="14341" width="11.75" style="165" bestFit="1" customWidth="1"/>
    <col min="14342" max="14345" width="10.875" style="165" bestFit="1" customWidth="1"/>
    <col min="14346" max="14346" width="11.25" style="165" bestFit="1" customWidth="1"/>
    <col min="14347" max="14347" width="10.875" style="165" customWidth="1"/>
    <col min="14348" max="14350" width="10" style="165" customWidth="1"/>
    <col min="14351" max="14351" width="13.625" style="165" bestFit="1" customWidth="1"/>
    <col min="14352" max="14592" width="9" style="165"/>
    <col min="14593" max="14593" width="13.875" style="165" bestFit="1" customWidth="1"/>
    <col min="14594" max="14594" width="9" style="165"/>
    <col min="14595" max="14596" width="11.375" style="165" customWidth="1"/>
    <col min="14597" max="14597" width="11.75" style="165" bestFit="1" customWidth="1"/>
    <col min="14598" max="14601" width="10.875" style="165" bestFit="1" customWidth="1"/>
    <col min="14602" max="14602" width="11.25" style="165" bestFit="1" customWidth="1"/>
    <col min="14603" max="14603" width="10.875" style="165" customWidth="1"/>
    <col min="14604" max="14606" width="10" style="165" customWidth="1"/>
    <col min="14607" max="14607" width="13.625" style="165" bestFit="1" customWidth="1"/>
    <col min="14608" max="14848" width="9" style="165"/>
    <col min="14849" max="14849" width="13.875" style="165" bestFit="1" customWidth="1"/>
    <col min="14850" max="14850" width="9" style="165"/>
    <col min="14851" max="14852" width="11.375" style="165" customWidth="1"/>
    <col min="14853" max="14853" width="11.75" style="165" bestFit="1" customWidth="1"/>
    <col min="14854" max="14857" width="10.875" style="165" bestFit="1" customWidth="1"/>
    <col min="14858" max="14858" width="11.25" style="165" bestFit="1" customWidth="1"/>
    <col min="14859" max="14859" width="10.875" style="165" customWidth="1"/>
    <col min="14860" max="14862" width="10" style="165" customWidth="1"/>
    <col min="14863" max="14863" width="13.625" style="165" bestFit="1" customWidth="1"/>
    <col min="14864" max="15104" width="9" style="165"/>
    <col min="15105" max="15105" width="13.875" style="165" bestFit="1" customWidth="1"/>
    <col min="15106" max="15106" width="9" style="165"/>
    <col min="15107" max="15108" width="11.375" style="165" customWidth="1"/>
    <col min="15109" max="15109" width="11.75" style="165" bestFit="1" customWidth="1"/>
    <col min="15110" max="15113" width="10.875" style="165" bestFit="1" customWidth="1"/>
    <col min="15114" max="15114" width="11.25" style="165" bestFit="1" customWidth="1"/>
    <col min="15115" max="15115" width="10.875" style="165" customWidth="1"/>
    <col min="15116" max="15118" width="10" style="165" customWidth="1"/>
    <col min="15119" max="15119" width="13.625" style="165" bestFit="1" customWidth="1"/>
    <col min="15120" max="15360" width="9" style="165"/>
    <col min="15361" max="15361" width="13.875" style="165" bestFit="1" customWidth="1"/>
    <col min="15362" max="15362" width="9" style="165"/>
    <col min="15363" max="15364" width="11.375" style="165" customWidth="1"/>
    <col min="15365" max="15365" width="11.75" style="165" bestFit="1" customWidth="1"/>
    <col min="15366" max="15369" width="10.875" style="165" bestFit="1" customWidth="1"/>
    <col min="15370" max="15370" width="11.25" style="165" bestFit="1" customWidth="1"/>
    <col min="15371" max="15371" width="10.875" style="165" customWidth="1"/>
    <col min="15372" max="15374" width="10" style="165" customWidth="1"/>
    <col min="15375" max="15375" width="13.625" style="165" bestFit="1" customWidth="1"/>
    <col min="15376" max="15616" width="9" style="165"/>
    <col min="15617" max="15617" width="13.875" style="165" bestFit="1" customWidth="1"/>
    <col min="15618" max="15618" width="9" style="165"/>
    <col min="15619" max="15620" width="11.375" style="165" customWidth="1"/>
    <col min="15621" max="15621" width="11.75" style="165" bestFit="1" customWidth="1"/>
    <col min="15622" max="15625" width="10.875" style="165" bestFit="1" customWidth="1"/>
    <col min="15626" max="15626" width="11.25" style="165" bestFit="1" customWidth="1"/>
    <col min="15627" max="15627" width="10.875" style="165" customWidth="1"/>
    <col min="15628" max="15630" width="10" style="165" customWidth="1"/>
    <col min="15631" max="15631" width="13.625" style="165" bestFit="1" customWidth="1"/>
    <col min="15632" max="15872" width="9" style="165"/>
    <col min="15873" max="15873" width="13.875" style="165" bestFit="1" customWidth="1"/>
    <col min="15874" max="15874" width="9" style="165"/>
    <col min="15875" max="15876" width="11.375" style="165" customWidth="1"/>
    <col min="15877" max="15877" width="11.75" style="165" bestFit="1" customWidth="1"/>
    <col min="15878" max="15881" width="10.875" style="165" bestFit="1" customWidth="1"/>
    <col min="15882" max="15882" width="11.25" style="165" bestFit="1" customWidth="1"/>
    <col min="15883" max="15883" width="10.875" style="165" customWidth="1"/>
    <col min="15884" max="15886" width="10" style="165" customWidth="1"/>
    <col min="15887" max="15887" width="13.625" style="165" bestFit="1" customWidth="1"/>
    <col min="15888" max="16128" width="9" style="165"/>
    <col min="16129" max="16129" width="13.875" style="165" bestFit="1" customWidth="1"/>
    <col min="16130" max="16130" width="9" style="165"/>
    <col min="16131" max="16132" width="11.375" style="165" customWidth="1"/>
    <col min="16133" max="16133" width="11.75" style="165" bestFit="1" customWidth="1"/>
    <col min="16134" max="16137" width="10.875" style="165" bestFit="1" customWidth="1"/>
    <col min="16138" max="16138" width="11.25" style="165" bestFit="1" customWidth="1"/>
    <col min="16139" max="16139" width="10.875" style="165" customWidth="1"/>
    <col min="16140" max="16142" width="10" style="165" customWidth="1"/>
    <col min="16143" max="16143" width="13.625" style="165" bestFit="1" customWidth="1"/>
    <col min="16144" max="16384" width="9" style="165"/>
  </cols>
  <sheetData>
    <row r="1" spans="1:15" ht="26.25" customHeight="1" x14ac:dyDescent="0.2">
      <c r="A1" s="245"/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</row>
    <row r="2" spans="1:15" ht="11.25" customHeight="1" thickBo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1:15" ht="16.5" customHeight="1" thickBot="1" x14ac:dyDescent="0.2">
      <c r="A3" s="173"/>
      <c r="B3" s="174"/>
      <c r="C3" s="175" t="s">
        <v>144</v>
      </c>
      <c r="D3" s="175" t="s">
        <v>145</v>
      </c>
      <c r="E3" s="175" t="s">
        <v>146</v>
      </c>
      <c r="F3" s="175" t="s">
        <v>147</v>
      </c>
      <c r="G3" s="175" t="s">
        <v>148</v>
      </c>
      <c r="H3" s="176" t="s">
        <v>212</v>
      </c>
      <c r="I3" s="175" t="s">
        <v>213</v>
      </c>
      <c r="J3" s="175" t="s">
        <v>149</v>
      </c>
      <c r="K3" s="175" t="s">
        <v>150</v>
      </c>
      <c r="L3" s="175" t="s">
        <v>151</v>
      </c>
      <c r="M3" s="175" t="s">
        <v>152</v>
      </c>
      <c r="N3" s="175" t="s">
        <v>153</v>
      </c>
      <c r="O3" s="175" t="s">
        <v>154</v>
      </c>
    </row>
    <row r="4" spans="1:15" ht="16.5" customHeight="1" x14ac:dyDescent="0.15">
      <c r="A4" s="250"/>
      <c r="B4" s="164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3"/>
    </row>
    <row r="5" spans="1:15" ht="16.5" customHeight="1" x14ac:dyDescent="0.15">
      <c r="A5" s="243"/>
      <c r="B5" s="166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</row>
    <row r="6" spans="1:15" ht="16.5" customHeight="1" x14ac:dyDescent="0.15">
      <c r="A6" s="243"/>
      <c r="B6" s="166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</row>
    <row r="7" spans="1:15" ht="16.5" customHeight="1" x14ac:dyDescent="0.15">
      <c r="A7" s="243"/>
      <c r="B7" s="166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</row>
    <row r="8" spans="1:15" ht="16.5" customHeight="1" x14ac:dyDescent="0.15">
      <c r="A8" s="243"/>
      <c r="B8" s="166"/>
      <c r="C8" s="106"/>
      <c r="D8" s="105"/>
      <c r="E8" s="105"/>
      <c r="F8" s="105"/>
      <c r="G8" s="105"/>
      <c r="H8" s="105"/>
      <c r="I8" s="106"/>
      <c r="J8" s="106"/>
      <c r="K8" s="106"/>
      <c r="L8" s="106"/>
      <c r="M8" s="106"/>
      <c r="N8" s="106"/>
      <c r="O8" s="105"/>
    </row>
    <row r="9" spans="1:15" ht="16.5" customHeight="1" x14ac:dyDescent="0.15">
      <c r="A9" s="243"/>
      <c r="B9" s="166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</row>
    <row r="10" spans="1:15" ht="16.5" customHeight="1" x14ac:dyDescent="0.15">
      <c r="A10" s="243"/>
      <c r="B10" s="166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</row>
    <row r="11" spans="1:15" ht="16.5" customHeight="1" x14ac:dyDescent="0.15">
      <c r="A11" s="243"/>
      <c r="B11" s="166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</row>
    <row r="12" spans="1:15" ht="16.5" customHeight="1" x14ac:dyDescent="0.15">
      <c r="A12" s="243"/>
      <c r="B12" s="166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</row>
    <row r="13" spans="1:15" ht="16.5" customHeight="1" x14ac:dyDescent="0.15">
      <c r="A13" s="243"/>
      <c r="B13" s="166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</row>
    <row r="14" spans="1:15" ht="16.5" customHeight="1" x14ac:dyDescent="0.15">
      <c r="A14" s="243"/>
      <c r="B14" s="166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</row>
    <row r="15" spans="1:15" ht="16.5" customHeight="1" thickBot="1" x14ac:dyDescent="0.2">
      <c r="A15" s="243"/>
      <c r="B15" s="166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68"/>
    </row>
    <row r="16" spans="1:15" ht="16.5" customHeight="1" thickTop="1" x14ac:dyDescent="0.15">
      <c r="A16" s="243"/>
      <c r="B16" s="16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</row>
    <row r="17" spans="1:15" ht="16.5" customHeight="1" thickBot="1" x14ac:dyDescent="0.2">
      <c r="A17" s="244"/>
      <c r="B17" s="170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</row>
    <row r="18" spans="1:15" ht="16.5" customHeight="1" x14ac:dyDescent="0.15">
      <c r="A18" s="243"/>
      <c r="B18" s="164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3"/>
    </row>
    <row r="19" spans="1:15" ht="16.5" customHeight="1" x14ac:dyDescent="0.15">
      <c r="A19" s="243"/>
      <c r="B19" s="166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</row>
    <row r="20" spans="1:15" ht="16.5" customHeight="1" x14ac:dyDescent="0.15">
      <c r="A20" s="243"/>
      <c r="B20" s="167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</row>
    <row r="21" spans="1:15" ht="16.5" customHeight="1" x14ac:dyDescent="0.15">
      <c r="A21" s="243"/>
      <c r="B21" s="166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</row>
    <row r="22" spans="1:15" ht="16.5" customHeight="1" x14ac:dyDescent="0.15">
      <c r="A22" s="243"/>
      <c r="B22" s="166"/>
      <c r="C22" s="106"/>
      <c r="D22" s="105"/>
      <c r="E22" s="105"/>
      <c r="F22" s="105"/>
      <c r="G22" s="105"/>
      <c r="H22" s="105"/>
      <c r="I22" s="106"/>
      <c r="J22" s="106"/>
      <c r="K22" s="106"/>
      <c r="L22" s="106"/>
      <c r="M22" s="106"/>
      <c r="N22" s="106"/>
      <c r="O22" s="105"/>
    </row>
    <row r="23" spans="1:15" ht="16.5" customHeight="1" x14ac:dyDescent="0.15">
      <c r="A23" s="243"/>
      <c r="B23" s="166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</row>
    <row r="24" spans="1:15" ht="16.5" customHeight="1" x14ac:dyDescent="0.15">
      <c r="A24" s="243"/>
      <c r="B24" s="166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</row>
    <row r="25" spans="1:15" ht="16.5" customHeight="1" x14ac:dyDescent="0.15">
      <c r="A25" s="243"/>
      <c r="B25" s="166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</row>
    <row r="26" spans="1:15" ht="16.5" customHeight="1" x14ac:dyDescent="0.15">
      <c r="A26" s="243"/>
      <c r="B26" s="166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</row>
    <row r="27" spans="1:15" ht="16.5" customHeight="1" x14ac:dyDescent="0.15">
      <c r="A27" s="243"/>
      <c r="B27" s="166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</row>
    <row r="28" spans="1:15" ht="16.5" customHeight="1" x14ac:dyDescent="0.15">
      <c r="A28" s="243"/>
      <c r="B28" s="166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</row>
    <row r="29" spans="1:15" ht="16.5" customHeight="1" thickBot="1" x14ac:dyDescent="0.2">
      <c r="A29" s="243"/>
      <c r="B29" s="166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68"/>
    </row>
    <row r="30" spans="1:15" ht="16.5" customHeight="1" thickTop="1" x14ac:dyDescent="0.15">
      <c r="A30" s="243"/>
      <c r="B30" s="16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</row>
    <row r="31" spans="1:15" ht="16.5" customHeight="1" thickBot="1" x14ac:dyDescent="0.2">
      <c r="A31" s="244"/>
      <c r="B31" s="170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 ht="16.5" customHeight="1" x14ac:dyDescent="0.15">
      <c r="A32" s="243"/>
      <c r="B32" s="164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3"/>
    </row>
    <row r="33" spans="1:15" ht="16.5" customHeight="1" x14ac:dyDescent="0.15">
      <c r="A33" s="243"/>
      <c r="B33" s="166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</row>
    <row r="34" spans="1:15" ht="16.5" customHeight="1" x14ac:dyDescent="0.15">
      <c r="A34" s="243"/>
      <c r="B34" s="167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</row>
    <row r="35" spans="1:15" ht="16.5" customHeight="1" x14ac:dyDescent="0.15">
      <c r="A35" s="243"/>
      <c r="B35" s="166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</row>
    <row r="36" spans="1:15" ht="16.5" customHeight="1" x14ac:dyDescent="0.15">
      <c r="A36" s="243"/>
      <c r="B36" s="166"/>
      <c r="C36" s="106"/>
      <c r="D36" s="105"/>
      <c r="E36" s="105"/>
      <c r="F36" s="105"/>
      <c r="G36" s="105"/>
      <c r="H36" s="105"/>
      <c r="I36" s="106"/>
      <c r="J36" s="106"/>
      <c r="K36" s="106"/>
      <c r="L36" s="106"/>
      <c r="M36" s="106"/>
      <c r="N36" s="106"/>
      <c r="O36" s="105"/>
    </row>
    <row r="37" spans="1:15" ht="16.5" customHeight="1" x14ac:dyDescent="0.15">
      <c r="A37" s="243"/>
      <c r="B37" s="166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</row>
    <row r="38" spans="1:15" ht="16.5" customHeight="1" x14ac:dyDescent="0.15">
      <c r="A38" s="243"/>
      <c r="B38" s="166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</row>
    <row r="39" spans="1:15" ht="16.5" customHeight="1" x14ac:dyDescent="0.15">
      <c r="A39" s="243"/>
      <c r="B39" s="166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</row>
    <row r="40" spans="1:15" ht="16.5" customHeight="1" x14ac:dyDescent="0.15">
      <c r="A40" s="243"/>
      <c r="B40" s="166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</row>
    <row r="41" spans="1:15" ht="16.5" customHeight="1" x14ac:dyDescent="0.15">
      <c r="A41" s="243"/>
      <c r="B41" s="166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</row>
    <row r="42" spans="1:15" ht="16.5" customHeight="1" x14ac:dyDescent="0.15">
      <c r="A42" s="243"/>
      <c r="B42" s="166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</row>
    <row r="43" spans="1:15" ht="16.5" customHeight="1" thickBot="1" x14ac:dyDescent="0.2">
      <c r="A43" s="243"/>
      <c r="B43" s="166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68"/>
    </row>
    <row r="44" spans="1:15" ht="16.5" customHeight="1" thickTop="1" x14ac:dyDescent="0.15">
      <c r="A44" s="243"/>
      <c r="B44" s="169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</row>
    <row r="45" spans="1:15" ht="16.5" customHeight="1" thickBot="1" x14ac:dyDescent="0.2">
      <c r="A45" s="244"/>
      <c r="B45" s="170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</row>
    <row r="46" spans="1:15" ht="16.5" customHeight="1" x14ac:dyDescent="0.15">
      <c r="A46" s="243"/>
      <c r="B46" s="164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3"/>
    </row>
    <row r="47" spans="1:15" ht="16.5" customHeight="1" x14ac:dyDescent="0.15">
      <c r="A47" s="243"/>
      <c r="B47" s="166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</row>
    <row r="48" spans="1:15" ht="16.5" customHeight="1" x14ac:dyDescent="0.15">
      <c r="A48" s="243"/>
      <c r="B48" s="167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</row>
    <row r="49" spans="1:15" ht="16.5" customHeight="1" x14ac:dyDescent="0.15">
      <c r="A49" s="243"/>
      <c r="B49" s="166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</row>
    <row r="50" spans="1:15" ht="16.5" customHeight="1" x14ac:dyDescent="0.15">
      <c r="A50" s="243"/>
      <c r="B50" s="166"/>
      <c r="C50" s="106"/>
      <c r="D50" s="105"/>
      <c r="E50" s="105"/>
      <c r="F50" s="105"/>
      <c r="G50" s="105"/>
      <c r="H50" s="105"/>
      <c r="I50" s="106"/>
      <c r="J50" s="106"/>
      <c r="K50" s="106"/>
      <c r="L50" s="106"/>
      <c r="M50" s="106"/>
      <c r="N50" s="106"/>
      <c r="O50" s="105"/>
    </row>
    <row r="51" spans="1:15" ht="16.5" customHeight="1" x14ac:dyDescent="0.15">
      <c r="A51" s="243"/>
      <c r="B51" s="166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</row>
    <row r="52" spans="1:15" ht="16.5" customHeight="1" x14ac:dyDescent="0.15">
      <c r="A52" s="243"/>
      <c r="B52" s="166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</row>
    <row r="53" spans="1:15" ht="16.5" customHeight="1" x14ac:dyDescent="0.15">
      <c r="A53" s="243"/>
      <c r="B53" s="166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</row>
    <row r="54" spans="1:15" ht="16.5" customHeight="1" x14ac:dyDescent="0.15">
      <c r="A54" s="243"/>
      <c r="B54" s="166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</row>
    <row r="55" spans="1:15" ht="16.5" customHeight="1" x14ac:dyDescent="0.15">
      <c r="A55" s="243"/>
      <c r="B55" s="166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</row>
    <row r="56" spans="1:15" ht="16.5" customHeight="1" x14ac:dyDescent="0.15">
      <c r="A56" s="243"/>
      <c r="B56" s="166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</row>
    <row r="57" spans="1:15" ht="16.5" customHeight="1" thickBot="1" x14ac:dyDescent="0.2">
      <c r="A57" s="243"/>
      <c r="B57" s="166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68"/>
    </row>
    <row r="58" spans="1:15" ht="16.5" customHeight="1" thickTop="1" x14ac:dyDescent="0.15">
      <c r="A58" s="243"/>
      <c r="B58" s="169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</row>
    <row r="59" spans="1:15" ht="16.5" customHeight="1" thickBot="1" x14ac:dyDescent="0.2">
      <c r="A59" s="244"/>
      <c r="B59" s="170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</row>
    <row r="60" spans="1:15" ht="16.5" customHeight="1" x14ac:dyDescent="0.15">
      <c r="A60" s="243"/>
      <c r="B60" s="164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3"/>
    </row>
    <row r="61" spans="1:15" ht="16.5" customHeight="1" x14ac:dyDescent="0.15">
      <c r="A61" s="243"/>
      <c r="B61" s="166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</row>
    <row r="62" spans="1:15" ht="16.5" customHeight="1" x14ac:dyDescent="0.15">
      <c r="A62" s="243"/>
      <c r="B62" s="167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</row>
    <row r="63" spans="1:15" ht="16.5" customHeight="1" x14ac:dyDescent="0.15">
      <c r="A63" s="243"/>
      <c r="B63" s="166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</row>
    <row r="64" spans="1:15" ht="16.5" customHeight="1" x14ac:dyDescent="0.15">
      <c r="A64" s="243"/>
      <c r="B64" s="166"/>
      <c r="C64" s="106"/>
      <c r="D64" s="105"/>
      <c r="E64" s="105"/>
      <c r="F64" s="105"/>
      <c r="G64" s="105"/>
      <c r="H64" s="105"/>
      <c r="I64" s="106"/>
      <c r="J64" s="106"/>
      <c r="K64" s="106"/>
      <c r="L64" s="106"/>
      <c r="M64" s="106"/>
      <c r="N64" s="106"/>
      <c r="O64" s="105"/>
    </row>
    <row r="65" spans="1:15" ht="16.5" customHeight="1" x14ac:dyDescent="0.15">
      <c r="A65" s="243"/>
      <c r="B65" s="166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</row>
    <row r="66" spans="1:15" ht="16.5" customHeight="1" x14ac:dyDescent="0.15">
      <c r="A66" s="243"/>
      <c r="B66" s="166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</row>
    <row r="67" spans="1:15" ht="16.5" customHeight="1" x14ac:dyDescent="0.15">
      <c r="A67" s="243"/>
      <c r="B67" s="166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</row>
    <row r="68" spans="1:15" ht="16.5" customHeight="1" x14ac:dyDescent="0.15">
      <c r="A68" s="243"/>
      <c r="B68" s="166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</row>
    <row r="69" spans="1:15" ht="16.5" customHeight="1" x14ac:dyDescent="0.15">
      <c r="A69" s="243"/>
      <c r="B69" s="166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</row>
    <row r="70" spans="1:15" ht="16.5" customHeight="1" x14ac:dyDescent="0.15">
      <c r="A70" s="243"/>
      <c r="B70" s="166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</row>
    <row r="71" spans="1:15" ht="16.5" customHeight="1" thickBot="1" x14ac:dyDescent="0.2">
      <c r="A71" s="243"/>
      <c r="B71" s="166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68"/>
    </row>
    <row r="72" spans="1:15" ht="16.5" customHeight="1" thickTop="1" x14ac:dyDescent="0.15">
      <c r="A72" s="243"/>
      <c r="B72" s="169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</row>
    <row r="73" spans="1:15" ht="16.5" customHeight="1" thickBot="1" x14ac:dyDescent="0.2">
      <c r="A73" s="244"/>
      <c r="B73" s="170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</row>
    <row r="74" spans="1:15" ht="16.5" customHeight="1" x14ac:dyDescent="0.15">
      <c r="A74" s="243"/>
      <c r="B74" s="178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3"/>
    </row>
    <row r="75" spans="1:15" ht="16.5" customHeight="1" x14ac:dyDescent="0.15">
      <c r="A75" s="243"/>
      <c r="B75" s="166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</row>
    <row r="76" spans="1:15" ht="16.5" customHeight="1" x14ac:dyDescent="0.15">
      <c r="A76" s="243"/>
      <c r="B76" s="167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</row>
    <row r="77" spans="1:15" ht="16.5" customHeight="1" x14ac:dyDescent="0.15">
      <c r="A77" s="243"/>
      <c r="B77" s="166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</row>
    <row r="78" spans="1:15" ht="16.5" customHeight="1" x14ac:dyDescent="0.15">
      <c r="A78" s="243"/>
      <c r="B78" s="166"/>
      <c r="C78" s="106"/>
      <c r="D78" s="105"/>
      <c r="E78" s="105"/>
      <c r="F78" s="105"/>
      <c r="G78" s="105"/>
      <c r="H78" s="105"/>
      <c r="I78" s="106"/>
      <c r="J78" s="106"/>
      <c r="K78" s="106"/>
      <c r="L78" s="106"/>
      <c r="M78" s="106"/>
      <c r="N78" s="106"/>
      <c r="O78" s="105"/>
    </row>
    <row r="79" spans="1:15" ht="16.5" customHeight="1" x14ac:dyDescent="0.15">
      <c r="A79" s="243"/>
      <c r="B79" s="166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</row>
    <row r="80" spans="1:15" ht="16.5" customHeight="1" x14ac:dyDescent="0.15">
      <c r="A80" s="243"/>
      <c r="B80" s="166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</row>
    <row r="81" spans="1:15" ht="16.5" customHeight="1" x14ac:dyDescent="0.15">
      <c r="A81" s="243"/>
      <c r="B81" s="166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</row>
    <row r="82" spans="1:15" ht="16.5" customHeight="1" x14ac:dyDescent="0.15">
      <c r="A82" s="243"/>
      <c r="B82" s="166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</row>
    <row r="83" spans="1:15" ht="16.5" customHeight="1" x14ac:dyDescent="0.15">
      <c r="A83" s="243"/>
      <c r="B83" s="166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</row>
    <row r="84" spans="1:15" ht="16.5" customHeight="1" x14ac:dyDescent="0.15">
      <c r="A84" s="243"/>
      <c r="B84" s="166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</row>
    <row r="85" spans="1:15" ht="16.5" customHeight="1" thickBot="1" x14ac:dyDescent="0.2">
      <c r="A85" s="243"/>
      <c r="B85" s="166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68"/>
    </row>
    <row r="86" spans="1:15" ht="16.5" customHeight="1" thickTop="1" x14ac:dyDescent="0.15">
      <c r="A86" s="243"/>
      <c r="B86" s="169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</row>
    <row r="87" spans="1:15" ht="16.5" customHeight="1" thickBot="1" x14ac:dyDescent="0.2">
      <c r="A87" s="244"/>
      <c r="B87" s="170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</row>
    <row r="88" spans="1:15" ht="16.5" customHeight="1" x14ac:dyDescent="0.15">
      <c r="A88" s="243"/>
      <c r="B88" s="178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3"/>
    </row>
    <row r="89" spans="1:15" ht="16.5" customHeight="1" x14ac:dyDescent="0.15">
      <c r="A89" s="243"/>
      <c r="B89" s="166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</row>
    <row r="90" spans="1:15" ht="16.5" customHeight="1" x14ac:dyDescent="0.15">
      <c r="A90" s="243"/>
      <c r="B90" s="167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</row>
    <row r="91" spans="1:15" ht="16.5" customHeight="1" x14ac:dyDescent="0.15">
      <c r="A91" s="243"/>
      <c r="B91" s="166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</row>
    <row r="92" spans="1:15" ht="16.5" customHeight="1" x14ac:dyDescent="0.15">
      <c r="A92" s="243"/>
      <c r="B92" s="166"/>
      <c r="C92" s="106"/>
      <c r="D92" s="105"/>
      <c r="E92" s="105"/>
      <c r="F92" s="105"/>
      <c r="G92" s="105"/>
      <c r="H92" s="105"/>
      <c r="I92" s="106"/>
      <c r="J92" s="106"/>
      <c r="K92" s="106"/>
      <c r="L92" s="106"/>
      <c r="M92" s="106"/>
      <c r="N92" s="106"/>
      <c r="O92" s="105"/>
    </row>
    <row r="93" spans="1:15" ht="16.5" customHeight="1" x14ac:dyDescent="0.15">
      <c r="A93" s="243"/>
      <c r="B93" s="166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</row>
    <row r="94" spans="1:15" ht="16.5" customHeight="1" x14ac:dyDescent="0.15">
      <c r="A94" s="243"/>
      <c r="B94" s="166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</row>
    <row r="95" spans="1:15" ht="16.5" customHeight="1" x14ac:dyDescent="0.15">
      <c r="A95" s="243"/>
      <c r="B95" s="166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</row>
    <row r="96" spans="1:15" ht="16.5" customHeight="1" x14ac:dyDescent="0.15">
      <c r="A96" s="243"/>
      <c r="B96" s="166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</row>
    <row r="97" spans="1:15" ht="16.5" customHeight="1" x14ac:dyDescent="0.15">
      <c r="A97" s="243"/>
      <c r="B97" s="166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</row>
    <row r="98" spans="1:15" ht="16.5" customHeight="1" x14ac:dyDescent="0.15">
      <c r="A98" s="243"/>
      <c r="B98" s="166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</row>
    <row r="99" spans="1:15" ht="16.5" customHeight="1" thickBot="1" x14ac:dyDescent="0.2">
      <c r="A99" s="243"/>
      <c r="B99" s="166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68"/>
    </row>
    <row r="100" spans="1:15" ht="16.5" customHeight="1" thickTop="1" x14ac:dyDescent="0.15">
      <c r="A100" s="243"/>
      <c r="B100" s="169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</row>
    <row r="101" spans="1:15" ht="16.5" customHeight="1" thickBot="1" x14ac:dyDescent="0.2">
      <c r="A101" s="244"/>
      <c r="B101" s="170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</row>
    <row r="102" spans="1:15" ht="16.5" customHeight="1" x14ac:dyDescent="0.15">
      <c r="A102" s="243"/>
      <c r="B102" s="178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3"/>
    </row>
    <row r="103" spans="1:15" ht="16.5" customHeight="1" x14ac:dyDescent="0.15">
      <c r="A103" s="243"/>
      <c r="B103" s="166"/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</row>
    <row r="104" spans="1:15" ht="16.5" customHeight="1" x14ac:dyDescent="0.15">
      <c r="A104" s="243"/>
      <c r="B104" s="167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</row>
    <row r="105" spans="1:15" ht="16.5" customHeight="1" x14ac:dyDescent="0.15">
      <c r="A105" s="243"/>
      <c r="B105" s="166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</row>
    <row r="106" spans="1:15" ht="16.5" customHeight="1" x14ac:dyDescent="0.15">
      <c r="A106" s="243"/>
      <c r="B106" s="166"/>
      <c r="C106" s="106"/>
      <c r="D106" s="105"/>
      <c r="E106" s="105"/>
      <c r="F106" s="105"/>
      <c r="G106" s="105"/>
      <c r="H106" s="105"/>
      <c r="I106" s="106"/>
      <c r="J106" s="106"/>
      <c r="K106" s="106"/>
      <c r="L106" s="106"/>
      <c r="M106" s="106"/>
      <c r="N106" s="106"/>
      <c r="O106" s="105"/>
    </row>
    <row r="107" spans="1:15" ht="16.5" customHeight="1" x14ac:dyDescent="0.15">
      <c r="A107" s="243"/>
      <c r="B107" s="166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</row>
    <row r="108" spans="1:15" ht="16.5" customHeight="1" x14ac:dyDescent="0.15">
      <c r="A108" s="243"/>
      <c r="B108" s="166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</row>
    <row r="109" spans="1:15" ht="16.5" customHeight="1" x14ac:dyDescent="0.15">
      <c r="A109" s="243"/>
      <c r="B109" s="166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</row>
    <row r="110" spans="1:15" ht="16.5" customHeight="1" x14ac:dyDescent="0.15">
      <c r="A110" s="243"/>
      <c r="B110" s="166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</row>
    <row r="111" spans="1:15" ht="16.5" customHeight="1" x14ac:dyDescent="0.15">
      <c r="A111" s="243"/>
      <c r="B111" s="166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</row>
    <row r="112" spans="1:15" ht="16.5" customHeight="1" x14ac:dyDescent="0.15">
      <c r="A112" s="243"/>
      <c r="B112" s="166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</row>
    <row r="113" spans="1:15" ht="16.5" customHeight="1" thickBot="1" x14ac:dyDescent="0.2">
      <c r="A113" s="243"/>
      <c r="B113" s="166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68"/>
    </row>
    <row r="114" spans="1:15" ht="16.5" customHeight="1" thickTop="1" x14ac:dyDescent="0.15">
      <c r="A114" s="243"/>
      <c r="B114" s="169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</row>
    <row r="115" spans="1:15" ht="16.5" customHeight="1" thickBot="1" x14ac:dyDescent="0.2">
      <c r="A115" s="244"/>
      <c r="B115" s="170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</row>
    <row r="116" spans="1:15" ht="16.5" customHeight="1" x14ac:dyDescent="0.15">
      <c r="A116" s="243"/>
      <c r="B116" s="178" t="s">
        <v>21</v>
      </c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3">
        <f>SUM(C116:N116)</f>
        <v>0</v>
      </c>
    </row>
    <row r="117" spans="1:15" ht="16.5" customHeight="1" x14ac:dyDescent="0.15">
      <c r="A117" s="243"/>
      <c r="B117" s="166" t="s">
        <v>155</v>
      </c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>
        <f t="shared" ref="O117:O125" si="0">SUM(C117:N117)</f>
        <v>0</v>
      </c>
    </row>
    <row r="118" spans="1:15" ht="16.5" customHeight="1" x14ac:dyDescent="0.15">
      <c r="A118" s="243"/>
      <c r="B118" s="167" t="s">
        <v>156</v>
      </c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>
        <f t="shared" si="0"/>
        <v>0</v>
      </c>
    </row>
    <row r="119" spans="1:15" ht="16.5" customHeight="1" x14ac:dyDescent="0.15">
      <c r="A119" s="243"/>
      <c r="B119" s="166" t="s">
        <v>26</v>
      </c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>
        <f t="shared" si="0"/>
        <v>0</v>
      </c>
    </row>
    <row r="120" spans="1:15" ht="16.5" customHeight="1" x14ac:dyDescent="0.15">
      <c r="A120" s="243"/>
      <c r="B120" s="166" t="s">
        <v>66</v>
      </c>
      <c r="C120" s="106"/>
      <c r="D120" s="105"/>
      <c r="E120" s="105"/>
      <c r="F120" s="105"/>
      <c r="G120" s="105"/>
      <c r="H120" s="105"/>
      <c r="I120" s="106"/>
      <c r="J120" s="106"/>
      <c r="K120" s="106"/>
      <c r="L120" s="106"/>
      <c r="M120" s="106"/>
      <c r="N120" s="106"/>
      <c r="O120" s="105">
        <f t="shared" si="0"/>
        <v>0</v>
      </c>
    </row>
    <row r="121" spans="1:15" ht="16.5" customHeight="1" x14ac:dyDescent="0.15">
      <c r="A121" s="243"/>
      <c r="B121" s="166" t="s">
        <v>22</v>
      </c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>
        <f t="shared" si="0"/>
        <v>0</v>
      </c>
    </row>
    <row r="122" spans="1:15" ht="16.5" customHeight="1" x14ac:dyDescent="0.15">
      <c r="A122" s="243"/>
      <c r="B122" s="166" t="s">
        <v>67</v>
      </c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>
        <f t="shared" si="0"/>
        <v>0</v>
      </c>
    </row>
    <row r="123" spans="1:15" ht="16.5" customHeight="1" x14ac:dyDescent="0.15">
      <c r="A123" s="243"/>
      <c r="B123" s="166" t="s">
        <v>23</v>
      </c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>
        <f t="shared" si="0"/>
        <v>0</v>
      </c>
    </row>
    <row r="124" spans="1:15" ht="16.5" customHeight="1" x14ac:dyDescent="0.15">
      <c r="A124" s="243"/>
      <c r="B124" s="166" t="s">
        <v>157</v>
      </c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>
        <f t="shared" si="0"/>
        <v>0</v>
      </c>
    </row>
    <row r="125" spans="1:15" ht="16.5" customHeight="1" x14ac:dyDescent="0.15">
      <c r="A125" s="243"/>
      <c r="B125" s="166" t="s">
        <v>158</v>
      </c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>
        <f t="shared" si="0"/>
        <v>0</v>
      </c>
    </row>
    <row r="126" spans="1:15" ht="16.5" customHeight="1" x14ac:dyDescent="0.15">
      <c r="A126" s="243"/>
      <c r="B126" s="166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</row>
    <row r="127" spans="1:15" ht="16.5" customHeight="1" thickBot="1" x14ac:dyDescent="0.2">
      <c r="A127" s="243"/>
      <c r="B127" s="166" t="s">
        <v>161</v>
      </c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68">
        <f>SUM(C127:N127)</f>
        <v>0</v>
      </c>
    </row>
    <row r="128" spans="1:15" ht="16.5" customHeight="1" thickTop="1" x14ac:dyDescent="0.15">
      <c r="A128" s="243"/>
      <c r="B128" s="169" t="s">
        <v>159</v>
      </c>
      <c r="C128" s="110"/>
      <c r="D128" s="110">
        <v>0</v>
      </c>
      <c r="E128" s="110"/>
      <c r="F128" s="110">
        <v>0</v>
      </c>
      <c r="G128" s="110">
        <v>0</v>
      </c>
      <c r="H128" s="110">
        <f t="shared" ref="H128:O128" si="1">H116-SUM(H117:H124)</f>
        <v>0</v>
      </c>
      <c r="I128" s="110">
        <f t="shared" si="1"/>
        <v>0</v>
      </c>
      <c r="J128" s="110">
        <f t="shared" si="1"/>
        <v>0</v>
      </c>
      <c r="K128" s="110">
        <f t="shared" si="1"/>
        <v>0</v>
      </c>
      <c r="L128" s="110">
        <f t="shared" si="1"/>
        <v>0</v>
      </c>
      <c r="M128" s="110">
        <f t="shared" si="1"/>
        <v>0</v>
      </c>
      <c r="N128" s="110">
        <f t="shared" si="1"/>
        <v>0</v>
      </c>
      <c r="O128" s="110">
        <f t="shared" si="1"/>
        <v>0</v>
      </c>
    </row>
    <row r="129" spans="1:15" ht="16.5" customHeight="1" thickBot="1" x14ac:dyDescent="0.2">
      <c r="A129" s="244"/>
      <c r="B129" s="170" t="s">
        <v>160</v>
      </c>
      <c r="C129" s="112"/>
      <c r="D129" s="112" t="s">
        <v>182</v>
      </c>
      <c r="E129" s="112"/>
      <c r="F129" s="112" t="s">
        <v>182</v>
      </c>
      <c r="G129" s="112" t="s">
        <v>182</v>
      </c>
      <c r="H129" s="112" t="str">
        <f t="shared" ref="H129:O129" si="2">IF(H116=0,"―     ",H128/H116)</f>
        <v xml:space="preserve">―     </v>
      </c>
      <c r="I129" s="112" t="str">
        <f t="shared" si="2"/>
        <v xml:space="preserve">―     </v>
      </c>
      <c r="J129" s="112" t="str">
        <f t="shared" si="2"/>
        <v xml:space="preserve">―     </v>
      </c>
      <c r="K129" s="112" t="str">
        <f t="shared" si="2"/>
        <v xml:space="preserve">―     </v>
      </c>
      <c r="L129" s="112" t="str">
        <f t="shared" si="2"/>
        <v xml:space="preserve">―     </v>
      </c>
      <c r="M129" s="112" t="str">
        <f t="shared" si="2"/>
        <v xml:space="preserve">―     </v>
      </c>
      <c r="N129" s="112" t="str">
        <f t="shared" si="2"/>
        <v xml:space="preserve">―     </v>
      </c>
      <c r="O129" s="112" t="str">
        <f t="shared" si="2"/>
        <v xml:space="preserve">―     </v>
      </c>
    </row>
    <row r="130" spans="1:15" ht="16.5" customHeight="1" x14ac:dyDescent="0.15">
      <c r="A130" s="243" t="s">
        <v>214</v>
      </c>
      <c r="B130" s="164" t="s">
        <v>21</v>
      </c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3">
        <f>SUM(C130:N130)</f>
        <v>0</v>
      </c>
    </row>
    <row r="131" spans="1:15" ht="16.5" customHeight="1" x14ac:dyDescent="0.15">
      <c r="A131" s="243"/>
      <c r="B131" s="166" t="s">
        <v>155</v>
      </c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>
        <f t="shared" ref="O131:O141" si="3">SUM(C131:N131)</f>
        <v>0</v>
      </c>
    </row>
    <row r="132" spans="1:15" ht="16.5" customHeight="1" x14ac:dyDescent="0.15">
      <c r="A132" s="243"/>
      <c r="B132" s="167" t="s">
        <v>156</v>
      </c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>
        <f t="shared" si="3"/>
        <v>0</v>
      </c>
    </row>
    <row r="133" spans="1:15" ht="16.5" customHeight="1" x14ac:dyDescent="0.15">
      <c r="A133" s="243"/>
      <c r="B133" s="166" t="s">
        <v>26</v>
      </c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>
        <f t="shared" si="3"/>
        <v>0</v>
      </c>
    </row>
    <row r="134" spans="1:15" ht="16.5" customHeight="1" x14ac:dyDescent="0.15">
      <c r="A134" s="243"/>
      <c r="B134" s="166" t="s">
        <v>66</v>
      </c>
      <c r="C134" s="106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>
        <f t="shared" si="3"/>
        <v>0</v>
      </c>
    </row>
    <row r="135" spans="1:15" ht="16.5" customHeight="1" x14ac:dyDescent="0.15">
      <c r="A135" s="243"/>
      <c r="B135" s="166" t="s">
        <v>22</v>
      </c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>
        <f t="shared" si="3"/>
        <v>0</v>
      </c>
    </row>
    <row r="136" spans="1:15" ht="16.5" customHeight="1" x14ac:dyDescent="0.15">
      <c r="A136" s="243"/>
      <c r="B136" s="166" t="s">
        <v>67</v>
      </c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>
        <f t="shared" si="3"/>
        <v>0</v>
      </c>
    </row>
    <row r="137" spans="1:15" ht="16.5" customHeight="1" x14ac:dyDescent="0.15">
      <c r="A137" s="243"/>
      <c r="B137" s="166" t="s">
        <v>23</v>
      </c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>
        <f t="shared" si="3"/>
        <v>0</v>
      </c>
    </row>
    <row r="138" spans="1:15" ht="16.5" customHeight="1" x14ac:dyDescent="0.15">
      <c r="A138" s="243"/>
      <c r="B138" s="166" t="s">
        <v>157</v>
      </c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>
        <f t="shared" si="3"/>
        <v>0</v>
      </c>
    </row>
    <row r="139" spans="1:15" ht="16.5" customHeight="1" x14ac:dyDescent="0.15">
      <c r="A139" s="243"/>
      <c r="B139" s="166" t="s">
        <v>158</v>
      </c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>
        <f t="shared" si="3"/>
        <v>0</v>
      </c>
    </row>
    <row r="140" spans="1:15" ht="16.5" customHeight="1" x14ac:dyDescent="0.15">
      <c r="A140" s="243"/>
      <c r="B140" s="166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</row>
    <row r="141" spans="1:15" ht="16.5" customHeight="1" thickBot="1" x14ac:dyDescent="0.2">
      <c r="A141" s="243"/>
      <c r="B141" s="166" t="s">
        <v>161</v>
      </c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68">
        <f t="shared" si="3"/>
        <v>0</v>
      </c>
    </row>
    <row r="142" spans="1:15" ht="16.5" customHeight="1" thickTop="1" x14ac:dyDescent="0.15">
      <c r="A142" s="243"/>
      <c r="B142" s="169" t="s">
        <v>159</v>
      </c>
      <c r="C142" s="110"/>
      <c r="D142" s="110"/>
      <c r="E142" s="110"/>
      <c r="F142" s="110"/>
      <c r="G142" s="110"/>
      <c r="H142" s="110" t="str">
        <f t="shared" ref="H142:M142" si="4">IF(H130="","",H130-SUM(H131:H138))</f>
        <v/>
      </c>
      <c r="I142" s="110" t="str">
        <f t="shared" si="4"/>
        <v/>
      </c>
      <c r="J142" s="110" t="str">
        <f t="shared" si="4"/>
        <v/>
      </c>
      <c r="K142" s="110" t="str">
        <f t="shared" si="4"/>
        <v/>
      </c>
      <c r="L142" s="110" t="str">
        <f t="shared" si="4"/>
        <v/>
      </c>
      <c r="M142" s="110" t="str">
        <f t="shared" si="4"/>
        <v/>
      </c>
      <c r="N142" s="110" t="str">
        <f>IF(N130="","",N130-SUM(N131:N138))</f>
        <v/>
      </c>
      <c r="O142" s="110">
        <f>IF(O130="","",O130-SUM(O131:O138))</f>
        <v>0</v>
      </c>
    </row>
    <row r="143" spans="1:15" ht="16.5" customHeight="1" thickBot="1" x14ac:dyDescent="0.2">
      <c r="A143" s="244"/>
      <c r="B143" s="170" t="s">
        <v>160</v>
      </c>
      <c r="C143" s="112"/>
      <c r="D143" s="112"/>
      <c r="E143" s="112"/>
      <c r="F143" s="112"/>
      <c r="G143" s="112"/>
      <c r="H143" s="112" t="str">
        <f t="shared" ref="H143:O143" si="5">IF(H130="","",IF(H130=0,"―     ",H142/H130))</f>
        <v/>
      </c>
      <c r="I143" s="112" t="str">
        <f t="shared" si="5"/>
        <v/>
      </c>
      <c r="J143" s="112" t="str">
        <f t="shared" si="5"/>
        <v/>
      </c>
      <c r="K143" s="112" t="str">
        <f t="shared" si="5"/>
        <v/>
      </c>
      <c r="L143" s="112" t="str">
        <f t="shared" si="5"/>
        <v/>
      </c>
      <c r="M143" s="112" t="str">
        <f t="shared" si="5"/>
        <v/>
      </c>
      <c r="N143" s="112" t="str">
        <f t="shared" si="5"/>
        <v/>
      </c>
      <c r="O143" s="112" t="str">
        <f t="shared" si="5"/>
        <v xml:space="preserve">―     </v>
      </c>
    </row>
    <row r="144" spans="1:15" ht="16.5" customHeight="1" x14ac:dyDescent="0.15"/>
    <row r="145" ht="16.5" customHeight="1" x14ac:dyDescent="0.15"/>
    <row r="146" ht="16.5" customHeight="1" x14ac:dyDescent="0.15"/>
    <row r="147" ht="16.5" customHeight="1" x14ac:dyDescent="0.15"/>
    <row r="148" ht="16.5" customHeight="1" x14ac:dyDescent="0.15"/>
    <row r="149" ht="16.5" customHeight="1" x14ac:dyDescent="0.15"/>
    <row r="150" ht="16.5" customHeight="1" x14ac:dyDescent="0.15"/>
    <row r="151" ht="16.5" customHeight="1" x14ac:dyDescent="0.15"/>
    <row r="152" ht="16.5" customHeight="1" x14ac:dyDescent="0.15"/>
    <row r="153" ht="16.5" customHeight="1" x14ac:dyDescent="0.15"/>
    <row r="154" ht="16.5" customHeight="1" x14ac:dyDescent="0.15"/>
    <row r="155" ht="16.5" customHeight="1" x14ac:dyDescent="0.15"/>
    <row r="156" ht="16.5" customHeight="1" x14ac:dyDescent="0.15"/>
  </sheetData>
  <mergeCells count="11">
    <mergeCell ref="A60:A73"/>
    <mergeCell ref="A1:O1"/>
    <mergeCell ref="A4:A17"/>
    <mergeCell ref="A18:A31"/>
    <mergeCell ref="A32:A45"/>
    <mergeCell ref="A46:A59"/>
    <mergeCell ref="A74:A87"/>
    <mergeCell ref="A88:A101"/>
    <mergeCell ref="A102:A115"/>
    <mergeCell ref="A116:A129"/>
    <mergeCell ref="A130:A143"/>
  </mergeCells>
  <phoneticPr fontId="3"/>
  <pageMargins left="0.19685039370078741" right="0.19685039370078741" top="0.19685039370078741" bottom="0.19685039370078741" header="0.19685039370078741" footer="0.19685039370078741"/>
  <pageSetup paperSize="9" scale="84" fitToHeight="58" orientation="landscape" r:id="rId1"/>
  <headerFooter alignWithMargins="0">
    <oddHeader>&amp;R&amp;D  &amp;T</oddHeader>
    <oddFooter>&amp;C&amp;P/&amp;N&amp;R㈱タスクフォース</oddFooter>
  </headerFooter>
  <rowBreaks count="4" manualBreakCount="4">
    <brk id="17" max="14" man="1"/>
    <brk id="45" max="14" man="1"/>
    <brk id="87" max="14" man="1"/>
    <brk id="129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76"/>
  <sheetViews>
    <sheetView view="pageBreakPreview" zoomScale="80" zoomScaleNormal="100" zoomScaleSheetLayoutView="80" workbookViewId="0">
      <pane xSplit="2" ySplit="3" topLeftCell="C729" activePane="bottomRight" state="frozen"/>
      <selection activeCell="N270" sqref="N270:N283"/>
      <selection pane="topRight" activeCell="N270" sqref="N270:N283"/>
      <selection pane="bottomLeft" activeCell="N270" sqref="N270:N283"/>
      <selection pane="bottomRight" activeCell="A718" sqref="A4:A731"/>
    </sheetView>
  </sheetViews>
  <sheetFormatPr defaultRowHeight="13.5" x14ac:dyDescent="0.15"/>
  <cols>
    <col min="1" max="1" width="13.875" style="165" bestFit="1" customWidth="1"/>
    <col min="2" max="2" width="9" style="165"/>
    <col min="3" max="4" width="11.375" style="165" customWidth="1"/>
    <col min="5" max="5" width="11.75" style="165" bestFit="1" customWidth="1"/>
    <col min="6" max="7" width="10.875" style="165" bestFit="1" customWidth="1"/>
    <col min="8" max="8" width="11.375" style="165" bestFit="1" customWidth="1"/>
    <col min="9" max="9" width="10.25" style="165" bestFit="1" customWidth="1"/>
    <col min="10" max="10" width="11.625" style="165" bestFit="1" customWidth="1"/>
    <col min="11" max="11" width="10.875" style="165" customWidth="1"/>
    <col min="12" max="14" width="11.375" style="165" bestFit="1" customWidth="1"/>
    <col min="15" max="15" width="13.75" style="165" bestFit="1" customWidth="1"/>
    <col min="16" max="256" width="9" style="165"/>
    <col min="257" max="257" width="13.875" style="165" bestFit="1" customWidth="1"/>
    <col min="258" max="258" width="9" style="165"/>
    <col min="259" max="260" width="11.375" style="165" customWidth="1"/>
    <col min="261" max="261" width="11.75" style="165" bestFit="1" customWidth="1"/>
    <col min="262" max="263" width="10.875" style="165" bestFit="1" customWidth="1"/>
    <col min="264" max="264" width="11.375" style="165" bestFit="1" customWidth="1"/>
    <col min="265" max="265" width="10.25" style="165" bestFit="1" customWidth="1"/>
    <col min="266" max="266" width="11.625" style="165" bestFit="1" customWidth="1"/>
    <col min="267" max="267" width="10.875" style="165" customWidth="1"/>
    <col min="268" max="270" width="11.375" style="165" bestFit="1" customWidth="1"/>
    <col min="271" max="271" width="13.75" style="165" bestFit="1" customWidth="1"/>
    <col min="272" max="512" width="9" style="165"/>
    <col min="513" max="513" width="13.875" style="165" bestFit="1" customWidth="1"/>
    <col min="514" max="514" width="9" style="165"/>
    <col min="515" max="516" width="11.375" style="165" customWidth="1"/>
    <col min="517" max="517" width="11.75" style="165" bestFit="1" customWidth="1"/>
    <col min="518" max="519" width="10.875" style="165" bestFit="1" customWidth="1"/>
    <col min="520" max="520" width="11.375" style="165" bestFit="1" customWidth="1"/>
    <col min="521" max="521" width="10.25" style="165" bestFit="1" customWidth="1"/>
    <col min="522" max="522" width="11.625" style="165" bestFit="1" customWidth="1"/>
    <col min="523" max="523" width="10.875" style="165" customWidth="1"/>
    <col min="524" max="526" width="11.375" style="165" bestFit="1" customWidth="1"/>
    <col min="527" max="527" width="13.75" style="165" bestFit="1" customWidth="1"/>
    <col min="528" max="768" width="9" style="165"/>
    <col min="769" max="769" width="13.875" style="165" bestFit="1" customWidth="1"/>
    <col min="770" max="770" width="9" style="165"/>
    <col min="771" max="772" width="11.375" style="165" customWidth="1"/>
    <col min="773" max="773" width="11.75" style="165" bestFit="1" customWidth="1"/>
    <col min="774" max="775" width="10.875" style="165" bestFit="1" customWidth="1"/>
    <col min="776" max="776" width="11.375" style="165" bestFit="1" customWidth="1"/>
    <col min="777" max="777" width="10.25" style="165" bestFit="1" customWidth="1"/>
    <col min="778" max="778" width="11.625" style="165" bestFit="1" customWidth="1"/>
    <col min="779" max="779" width="10.875" style="165" customWidth="1"/>
    <col min="780" max="782" width="11.375" style="165" bestFit="1" customWidth="1"/>
    <col min="783" max="783" width="13.75" style="165" bestFit="1" customWidth="1"/>
    <col min="784" max="1024" width="9" style="165"/>
    <col min="1025" max="1025" width="13.875" style="165" bestFit="1" customWidth="1"/>
    <col min="1026" max="1026" width="9" style="165"/>
    <col min="1027" max="1028" width="11.375" style="165" customWidth="1"/>
    <col min="1029" max="1029" width="11.75" style="165" bestFit="1" customWidth="1"/>
    <col min="1030" max="1031" width="10.875" style="165" bestFit="1" customWidth="1"/>
    <col min="1032" max="1032" width="11.375" style="165" bestFit="1" customWidth="1"/>
    <col min="1033" max="1033" width="10.25" style="165" bestFit="1" customWidth="1"/>
    <col min="1034" max="1034" width="11.625" style="165" bestFit="1" customWidth="1"/>
    <col min="1035" max="1035" width="10.875" style="165" customWidth="1"/>
    <col min="1036" max="1038" width="11.375" style="165" bestFit="1" customWidth="1"/>
    <col min="1039" max="1039" width="13.75" style="165" bestFit="1" customWidth="1"/>
    <col min="1040" max="1280" width="9" style="165"/>
    <col min="1281" max="1281" width="13.875" style="165" bestFit="1" customWidth="1"/>
    <col min="1282" max="1282" width="9" style="165"/>
    <col min="1283" max="1284" width="11.375" style="165" customWidth="1"/>
    <col min="1285" max="1285" width="11.75" style="165" bestFit="1" customWidth="1"/>
    <col min="1286" max="1287" width="10.875" style="165" bestFit="1" customWidth="1"/>
    <col min="1288" max="1288" width="11.375" style="165" bestFit="1" customWidth="1"/>
    <col min="1289" max="1289" width="10.25" style="165" bestFit="1" customWidth="1"/>
    <col min="1290" max="1290" width="11.625" style="165" bestFit="1" customWidth="1"/>
    <col min="1291" max="1291" width="10.875" style="165" customWidth="1"/>
    <col min="1292" max="1294" width="11.375" style="165" bestFit="1" customWidth="1"/>
    <col min="1295" max="1295" width="13.75" style="165" bestFit="1" customWidth="1"/>
    <col min="1296" max="1536" width="9" style="165"/>
    <col min="1537" max="1537" width="13.875" style="165" bestFit="1" customWidth="1"/>
    <col min="1538" max="1538" width="9" style="165"/>
    <col min="1539" max="1540" width="11.375" style="165" customWidth="1"/>
    <col min="1541" max="1541" width="11.75" style="165" bestFit="1" customWidth="1"/>
    <col min="1542" max="1543" width="10.875" style="165" bestFit="1" customWidth="1"/>
    <col min="1544" max="1544" width="11.375" style="165" bestFit="1" customWidth="1"/>
    <col min="1545" max="1545" width="10.25" style="165" bestFit="1" customWidth="1"/>
    <col min="1546" max="1546" width="11.625" style="165" bestFit="1" customWidth="1"/>
    <col min="1547" max="1547" width="10.875" style="165" customWidth="1"/>
    <col min="1548" max="1550" width="11.375" style="165" bestFit="1" customWidth="1"/>
    <col min="1551" max="1551" width="13.75" style="165" bestFit="1" customWidth="1"/>
    <col min="1552" max="1792" width="9" style="165"/>
    <col min="1793" max="1793" width="13.875" style="165" bestFit="1" customWidth="1"/>
    <col min="1794" max="1794" width="9" style="165"/>
    <col min="1795" max="1796" width="11.375" style="165" customWidth="1"/>
    <col min="1797" max="1797" width="11.75" style="165" bestFit="1" customWidth="1"/>
    <col min="1798" max="1799" width="10.875" style="165" bestFit="1" customWidth="1"/>
    <col min="1800" max="1800" width="11.375" style="165" bestFit="1" customWidth="1"/>
    <col min="1801" max="1801" width="10.25" style="165" bestFit="1" customWidth="1"/>
    <col min="1802" max="1802" width="11.625" style="165" bestFit="1" customWidth="1"/>
    <col min="1803" max="1803" width="10.875" style="165" customWidth="1"/>
    <col min="1804" max="1806" width="11.375" style="165" bestFit="1" customWidth="1"/>
    <col min="1807" max="1807" width="13.75" style="165" bestFit="1" customWidth="1"/>
    <col min="1808" max="2048" width="9" style="165"/>
    <col min="2049" max="2049" width="13.875" style="165" bestFit="1" customWidth="1"/>
    <col min="2050" max="2050" width="9" style="165"/>
    <col min="2051" max="2052" width="11.375" style="165" customWidth="1"/>
    <col min="2053" max="2053" width="11.75" style="165" bestFit="1" customWidth="1"/>
    <col min="2054" max="2055" width="10.875" style="165" bestFit="1" customWidth="1"/>
    <col min="2056" max="2056" width="11.375" style="165" bestFit="1" customWidth="1"/>
    <col min="2057" max="2057" width="10.25" style="165" bestFit="1" customWidth="1"/>
    <col min="2058" max="2058" width="11.625" style="165" bestFit="1" customWidth="1"/>
    <col min="2059" max="2059" width="10.875" style="165" customWidth="1"/>
    <col min="2060" max="2062" width="11.375" style="165" bestFit="1" customWidth="1"/>
    <col min="2063" max="2063" width="13.75" style="165" bestFit="1" customWidth="1"/>
    <col min="2064" max="2304" width="9" style="165"/>
    <col min="2305" max="2305" width="13.875" style="165" bestFit="1" customWidth="1"/>
    <col min="2306" max="2306" width="9" style="165"/>
    <col min="2307" max="2308" width="11.375" style="165" customWidth="1"/>
    <col min="2309" max="2309" width="11.75" style="165" bestFit="1" customWidth="1"/>
    <col min="2310" max="2311" width="10.875" style="165" bestFit="1" customWidth="1"/>
    <col min="2312" max="2312" width="11.375" style="165" bestFit="1" customWidth="1"/>
    <col min="2313" max="2313" width="10.25" style="165" bestFit="1" customWidth="1"/>
    <col min="2314" max="2314" width="11.625" style="165" bestFit="1" customWidth="1"/>
    <col min="2315" max="2315" width="10.875" style="165" customWidth="1"/>
    <col min="2316" max="2318" width="11.375" style="165" bestFit="1" customWidth="1"/>
    <col min="2319" max="2319" width="13.75" style="165" bestFit="1" customWidth="1"/>
    <col min="2320" max="2560" width="9" style="165"/>
    <col min="2561" max="2561" width="13.875" style="165" bestFit="1" customWidth="1"/>
    <col min="2562" max="2562" width="9" style="165"/>
    <col min="2563" max="2564" width="11.375" style="165" customWidth="1"/>
    <col min="2565" max="2565" width="11.75" style="165" bestFit="1" customWidth="1"/>
    <col min="2566" max="2567" width="10.875" style="165" bestFit="1" customWidth="1"/>
    <col min="2568" max="2568" width="11.375" style="165" bestFit="1" customWidth="1"/>
    <col min="2569" max="2569" width="10.25" style="165" bestFit="1" customWidth="1"/>
    <col min="2570" max="2570" width="11.625" style="165" bestFit="1" customWidth="1"/>
    <col min="2571" max="2571" width="10.875" style="165" customWidth="1"/>
    <col min="2572" max="2574" width="11.375" style="165" bestFit="1" customWidth="1"/>
    <col min="2575" max="2575" width="13.75" style="165" bestFit="1" customWidth="1"/>
    <col min="2576" max="2816" width="9" style="165"/>
    <col min="2817" max="2817" width="13.875" style="165" bestFit="1" customWidth="1"/>
    <col min="2818" max="2818" width="9" style="165"/>
    <col min="2819" max="2820" width="11.375" style="165" customWidth="1"/>
    <col min="2821" max="2821" width="11.75" style="165" bestFit="1" customWidth="1"/>
    <col min="2822" max="2823" width="10.875" style="165" bestFit="1" customWidth="1"/>
    <col min="2824" max="2824" width="11.375" style="165" bestFit="1" customWidth="1"/>
    <col min="2825" max="2825" width="10.25" style="165" bestFit="1" customWidth="1"/>
    <col min="2826" max="2826" width="11.625" style="165" bestFit="1" customWidth="1"/>
    <col min="2827" max="2827" width="10.875" style="165" customWidth="1"/>
    <col min="2828" max="2830" width="11.375" style="165" bestFit="1" customWidth="1"/>
    <col min="2831" max="2831" width="13.75" style="165" bestFit="1" customWidth="1"/>
    <col min="2832" max="3072" width="9" style="165"/>
    <col min="3073" max="3073" width="13.875" style="165" bestFit="1" customWidth="1"/>
    <col min="3074" max="3074" width="9" style="165"/>
    <col min="3075" max="3076" width="11.375" style="165" customWidth="1"/>
    <col min="3077" max="3077" width="11.75" style="165" bestFit="1" customWidth="1"/>
    <col min="3078" max="3079" width="10.875" style="165" bestFit="1" customWidth="1"/>
    <col min="3080" max="3080" width="11.375" style="165" bestFit="1" customWidth="1"/>
    <col min="3081" max="3081" width="10.25" style="165" bestFit="1" customWidth="1"/>
    <col min="3082" max="3082" width="11.625" style="165" bestFit="1" customWidth="1"/>
    <col min="3083" max="3083" width="10.875" style="165" customWidth="1"/>
    <col min="3084" max="3086" width="11.375" style="165" bestFit="1" customWidth="1"/>
    <col min="3087" max="3087" width="13.75" style="165" bestFit="1" customWidth="1"/>
    <col min="3088" max="3328" width="9" style="165"/>
    <col min="3329" max="3329" width="13.875" style="165" bestFit="1" customWidth="1"/>
    <col min="3330" max="3330" width="9" style="165"/>
    <col min="3331" max="3332" width="11.375" style="165" customWidth="1"/>
    <col min="3333" max="3333" width="11.75" style="165" bestFit="1" customWidth="1"/>
    <col min="3334" max="3335" width="10.875" style="165" bestFit="1" customWidth="1"/>
    <col min="3336" max="3336" width="11.375" style="165" bestFit="1" customWidth="1"/>
    <col min="3337" max="3337" width="10.25" style="165" bestFit="1" customWidth="1"/>
    <col min="3338" max="3338" width="11.625" style="165" bestFit="1" customWidth="1"/>
    <col min="3339" max="3339" width="10.875" style="165" customWidth="1"/>
    <col min="3340" max="3342" width="11.375" style="165" bestFit="1" customWidth="1"/>
    <col min="3343" max="3343" width="13.75" style="165" bestFit="1" customWidth="1"/>
    <col min="3344" max="3584" width="9" style="165"/>
    <col min="3585" max="3585" width="13.875" style="165" bestFit="1" customWidth="1"/>
    <col min="3586" max="3586" width="9" style="165"/>
    <col min="3587" max="3588" width="11.375" style="165" customWidth="1"/>
    <col min="3589" max="3589" width="11.75" style="165" bestFit="1" customWidth="1"/>
    <col min="3590" max="3591" width="10.875" style="165" bestFit="1" customWidth="1"/>
    <col min="3592" max="3592" width="11.375" style="165" bestFit="1" customWidth="1"/>
    <col min="3593" max="3593" width="10.25" style="165" bestFit="1" customWidth="1"/>
    <col min="3594" max="3594" width="11.625" style="165" bestFit="1" customWidth="1"/>
    <col min="3595" max="3595" width="10.875" style="165" customWidth="1"/>
    <col min="3596" max="3598" width="11.375" style="165" bestFit="1" customWidth="1"/>
    <col min="3599" max="3599" width="13.75" style="165" bestFit="1" customWidth="1"/>
    <col min="3600" max="3840" width="9" style="165"/>
    <col min="3841" max="3841" width="13.875" style="165" bestFit="1" customWidth="1"/>
    <col min="3842" max="3842" width="9" style="165"/>
    <col min="3843" max="3844" width="11.375" style="165" customWidth="1"/>
    <col min="3845" max="3845" width="11.75" style="165" bestFit="1" customWidth="1"/>
    <col min="3846" max="3847" width="10.875" style="165" bestFit="1" customWidth="1"/>
    <col min="3848" max="3848" width="11.375" style="165" bestFit="1" customWidth="1"/>
    <col min="3849" max="3849" width="10.25" style="165" bestFit="1" customWidth="1"/>
    <col min="3850" max="3850" width="11.625" style="165" bestFit="1" customWidth="1"/>
    <col min="3851" max="3851" width="10.875" style="165" customWidth="1"/>
    <col min="3852" max="3854" width="11.375" style="165" bestFit="1" customWidth="1"/>
    <col min="3855" max="3855" width="13.75" style="165" bestFit="1" customWidth="1"/>
    <col min="3856" max="4096" width="9" style="165"/>
    <col min="4097" max="4097" width="13.875" style="165" bestFit="1" customWidth="1"/>
    <col min="4098" max="4098" width="9" style="165"/>
    <col min="4099" max="4100" width="11.375" style="165" customWidth="1"/>
    <col min="4101" max="4101" width="11.75" style="165" bestFit="1" customWidth="1"/>
    <col min="4102" max="4103" width="10.875" style="165" bestFit="1" customWidth="1"/>
    <col min="4104" max="4104" width="11.375" style="165" bestFit="1" customWidth="1"/>
    <col min="4105" max="4105" width="10.25" style="165" bestFit="1" customWidth="1"/>
    <col min="4106" max="4106" width="11.625" style="165" bestFit="1" customWidth="1"/>
    <col min="4107" max="4107" width="10.875" style="165" customWidth="1"/>
    <col min="4108" max="4110" width="11.375" style="165" bestFit="1" customWidth="1"/>
    <col min="4111" max="4111" width="13.75" style="165" bestFit="1" customWidth="1"/>
    <col min="4112" max="4352" width="9" style="165"/>
    <col min="4353" max="4353" width="13.875" style="165" bestFit="1" customWidth="1"/>
    <col min="4354" max="4354" width="9" style="165"/>
    <col min="4355" max="4356" width="11.375" style="165" customWidth="1"/>
    <col min="4357" max="4357" width="11.75" style="165" bestFit="1" customWidth="1"/>
    <col min="4358" max="4359" width="10.875" style="165" bestFit="1" customWidth="1"/>
    <col min="4360" max="4360" width="11.375" style="165" bestFit="1" customWidth="1"/>
    <col min="4361" max="4361" width="10.25" style="165" bestFit="1" customWidth="1"/>
    <col min="4362" max="4362" width="11.625" style="165" bestFit="1" customWidth="1"/>
    <col min="4363" max="4363" width="10.875" style="165" customWidth="1"/>
    <col min="4364" max="4366" width="11.375" style="165" bestFit="1" customWidth="1"/>
    <col min="4367" max="4367" width="13.75" style="165" bestFit="1" customWidth="1"/>
    <col min="4368" max="4608" width="9" style="165"/>
    <col min="4609" max="4609" width="13.875" style="165" bestFit="1" customWidth="1"/>
    <col min="4610" max="4610" width="9" style="165"/>
    <col min="4611" max="4612" width="11.375" style="165" customWidth="1"/>
    <col min="4613" max="4613" width="11.75" style="165" bestFit="1" customWidth="1"/>
    <col min="4614" max="4615" width="10.875" style="165" bestFit="1" customWidth="1"/>
    <col min="4616" max="4616" width="11.375" style="165" bestFit="1" customWidth="1"/>
    <col min="4617" max="4617" width="10.25" style="165" bestFit="1" customWidth="1"/>
    <col min="4618" max="4618" width="11.625" style="165" bestFit="1" customWidth="1"/>
    <col min="4619" max="4619" width="10.875" style="165" customWidth="1"/>
    <col min="4620" max="4622" width="11.375" style="165" bestFit="1" customWidth="1"/>
    <col min="4623" max="4623" width="13.75" style="165" bestFit="1" customWidth="1"/>
    <col min="4624" max="4864" width="9" style="165"/>
    <col min="4865" max="4865" width="13.875" style="165" bestFit="1" customWidth="1"/>
    <col min="4866" max="4866" width="9" style="165"/>
    <col min="4867" max="4868" width="11.375" style="165" customWidth="1"/>
    <col min="4869" max="4869" width="11.75" style="165" bestFit="1" customWidth="1"/>
    <col min="4870" max="4871" width="10.875" style="165" bestFit="1" customWidth="1"/>
    <col min="4872" max="4872" width="11.375" style="165" bestFit="1" customWidth="1"/>
    <col min="4873" max="4873" width="10.25" style="165" bestFit="1" customWidth="1"/>
    <col min="4874" max="4874" width="11.625" style="165" bestFit="1" customWidth="1"/>
    <col min="4875" max="4875" width="10.875" style="165" customWidth="1"/>
    <col min="4876" max="4878" width="11.375" style="165" bestFit="1" customWidth="1"/>
    <col min="4879" max="4879" width="13.75" style="165" bestFit="1" customWidth="1"/>
    <col min="4880" max="5120" width="9" style="165"/>
    <col min="5121" max="5121" width="13.875" style="165" bestFit="1" customWidth="1"/>
    <col min="5122" max="5122" width="9" style="165"/>
    <col min="5123" max="5124" width="11.375" style="165" customWidth="1"/>
    <col min="5125" max="5125" width="11.75" style="165" bestFit="1" customWidth="1"/>
    <col min="5126" max="5127" width="10.875" style="165" bestFit="1" customWidth="1"/>
    <col min="5128" max="5128" width="11.375" style="165" bestFit="1" customWidth="1"/>
    <col min="5129" max="5129" width="10.25" style="165" bestFit="1" customWidth="1"/>
    <col min="5130" max="5130" width="11.625" style="165" bestFit="1" customWidth="1"/>
    <col min="5131" max="5131" width="10.875" style="165" customWidth="1"/>
    <col min="5132" max="5134" width="11.375" style="165" bestFit="1" customWidth="1"/>
    <col min="5135" max="5135" width="13.75" style="165" bestFit="1" customWidth="1"/>
    <col min="5136" max="5376" width="9" style="165"/>
    <col min="5377" max="5377" width="13.875" style="165" bestFit="1" customWidth="1"/>
    <col min="5378" max="5378" width="9" style="165"/>
    <col min="5379" max="5380" width="11.375" style="165" customWidth="1"/>
    <col min="5381" max="5381" width="11.75" style="165" bestFit="1" customWidth="1"/>
    <col min="5382" max="5383" width="10.875" style="165" bestFit="1" customWidth="1"/>
    <col min="5384" max="5384" width="11.375" style="165" bestFit="1" customWidth="1"/>
    <col min="5385" max="5385" width="10.25" style="165" bestFit="1" customWidth="1"/>
    <col min="5386" max="5386" width="11.625" style="165" bestFit="1" customWidth="1"/>
    <col min="5387" max="5387" width="10.875" style="165" customWidth="1"/>
    <col min="5388" max="5390" width="11.375" style="165" bestFit="1" customWidth="1"/>
    <col min="5391" max="5391" width="13.75" style="165" bestFit="1" customWidth="1"/>
    <col min="5392" max="5632" width="9" style="165"/>
    <col min="5633" max="5633" width="13.875" style="165" bestFit="1" customWidth="1"/>
    <col min="5634" max="5634" width="9" style="165"/>
    <col min="5635" max="5636" width="11.375" style="165" customWidth="1"/>
    <col min="5637" max="5637" width="11.75" style="165" bestFit="1" customWidth="1"/>
    <col min="5638" max="5639" width="10.875" style="165" bestFit="1" customWidth="1"/>
    <col min="5640" max="5640" width="11.375" style="165" bestFit="1" customWidth="1"/>
    <col min="5641" max="5641" width="10.25" style="165" bestFit="1" customWidth="1"/>
    <col min="5642" max="5642" width="11.625" style="165" bestFit="1" customWidth="1"/>
    <col min="5643" max="5643" width="10.875" style="165" customWidth="1"/>
    <col min="5644" max="5646" width="11.375" style="165" bestFit="1" customWidth="1"/>
    <col min="5647" max="5647" width="13.75" style="165" bestFit="1" customWidth="1"/>
    <col min="5648" max="5888" width="9" style="165"/>
    <col min="5889" max="5889" width="13.875" style="165" bestFit="1" customWidth="1"/>
    <col min="5890" max="5890" width="9" style="165"/>
    <col min="5891" max="5892" width="11.375" style="165" customWidth="1"/>
    <col min="5893" max="5893" width="11.75" style="165" bestFit="1" customWidth="1"/>
    <col min="5894" max="5895" width="10.875" style="165" bestFit="1" customWidth="1"/>
    <col min="5896" max="5896" width="11.375" style="165" bestFit="1" customWidth="1"/>
    <col min="5897" max="5897" width="10.25" style="165" bestFit="1" customWidth="1"/>
    <col min="5898" max="5898" width="11.625" style="165" bestFit="1" customWidth="1"/>
    <col min="5899" max="5899" width="10.875" style="165" customWidth="1"/>
    <col min="5900" max="5902" width="11.375" style="165" bestFit="1" customWidth="1"/>
    <col min="5903" max="5903" width="13.75" style="165" bestFit="1" customWidth="1"/>
    <col min="5904" max="6144" width="9" style="165"/>
    <col min="6145" max="6145" width="13.875" style="165" bestFit="1" customWidth="1"/>
    <col min="6146" max="6146" width="9" style="165"/>
    <col min="6147" max="6148" width="11.375" style="165" customWidth="1"/>
    <col min="6149" max="6149" width="11.75" style="165" bestFit="1" customWidth="1"/>
    <col min="6150" max="6151" width="10.875" style="165" bestFit="1" customWidth="1"/>
    <col min="6152" max="6152" width="11.375" style="165" bestFit="1" customWidth="1"/>
    <col min="6153" max="6153" width="10.25" style="165" bestFit="1" customWidth="1"/>
    <col min="6154" max="6154" width="11.625" style="165" bestFit="1" customWidth="1"/>
    <col min="6155" max="6155" width="10.875" style="165" customWidth="1"/>
    <col min="6156" max="6158" width="11.375" style="165" bestFit="1" customWidth="1"/>
    <col min="6159" max="6159" width="13.75" style="165" bestFit="1" customWidth="1"/>
    <col min="6160" max="6400" width="9" style="165"/>
    <col min="6401" max="6401" width="13.875" style="165" bestFit="1" customWidth="1"/>
    <col min="6402" max="6402" width="9" style="165"/>
    <col min="6403" max="6404" width="11.375" style="165" customWidth="1"/>
    <col min="6405" max="6405" width="11.75" style="165" bestFit="1" customWidth="1"/>
    <col min="6406" max="6407" width="10.875" style="165" bestFit="1" customWidth="1"/>
    <col min="6408" max="6408" width="11.375" style="165" bestFit="1" customWidth="1"/>
    <col min="6409" max="6409" width="10.25" style="165" bestFit="1" customWidth="1"/>
    <col min="6410" max="6410" width="11.625" style="165" bestFit="1" customWidth="1"/>
    <col min="6411" max="6411" width="10.875" style="165" customWidth="1"/>
    <col min="6412" max="6414" width="11.375" style="165" bestFit="1" customWidth="1"/>
    <col min="6415" max="6415" width="13.75" style="165" bestFit="1" customWidth="1"/>
    <col min="6416" max="6656" width="9" style="165"/>
    <col min="6657" max="6657" width="13.875" style="165" bestFit="1" customWidth="1"/>
    <col min="6658" max="6658" width="9" style="165"/>
    <col min="6659" max="6660" width="11.375" style="165" customWidth="1"/>
    <col min="6661" max="6661" width="11.75" style="165" bestFit="1" customWidth="1"/>
    <col min="6662" max="6663" width="10.875" style="165" bestFit="1" customWidth="1"/>
    <col min="6664" max="6664" width="11.375" style="165" bestFit="1" customWidth="1"/>
    <col min="6665" max="6665" width="10.25" style="165" bestFit="1" customWidth="1"/>
    <col min="6666" max="6666" width="11.625" style="165" bestFit="1" customWidth="1"/>
    <col min="6667" max="6667" width="10.875" style="165" customWidth="1"/>
    <col min="6668" max="6670" width="11.375" style="165" bestFit="1" customWidth="1"/>
    <col min="6671" max="6671" width="13.75" style="165" bestFit="1" customWidth="1"/>
    <col min="6672" max="6912" width="9" style="165"/>
    <col min="6913" max="6913" width="13.875" style="165" bestFit="1" customWidth="1"/>
    <col min="6914" max="6914" width="9" style="165"/>
    <col min="6915" max="6916" width="11.375" style="165" customWidth="1"/>
    <col min="6917" max="6917" width="11.75" style="165" bestFit="1" customWidth="1"/>
    <col min="6918" max="6919" width="10.875" style="165" bestFit="1" customWidth="1"/>
    <col min="6920" max="6920" width="11.375" style="165" bestFit="1" customWidth="1"/>
    <col min="6921" max="6921" width="10.25" style="165" bestFit="1" customWidth="1"/>
    <col min="6922" max="6922" width="11.625" style="165" bestFit="1" customWidth="1"/>
    <col min="6923" max="6923" width="10.875" style="165" customWidth="1"/>
    <col min="6924" max="6926" width="11.375" style="165" bestFit="1" customWidth="1"/>
    <col min="6927" max="6927" width="13.75" style="165" bestFit="1" customWidth="1"/>
    <col min="6928" max="7168" width="9" style="165"/>
    <col min="7169" max="7169" width="13.875" style="165" bestFit="1" customWidth="1"/>
    <col min="7170" max="7170" width="9" style="165"/>
    <col min="7171" max="7172" width="11.375" style="165" customWidth="1"/>
    <col min="7173" max="7173" width="11.75" style="165" bestFit="1" customWidth="1"/>
    <col min="7174" max="7175" width="10.875" style="165" bestFit="1" customWidth="1"/>
    <col min="7176" max="7176" width="11.375" style="165" bestFit="1" customWidth="1"/>
    <col min="7177" max="7177" width="10.25" style="165" bestFit="1" customWidth="1"/>
    <col min="7178" max="7178" width="11.625" style="165" bestFit="1" customWidth="1"/>
    <col min="7179" max="7179" width="10.875" style="165" customWidth="1"/>
    <col min="7180" max="7182" width="11.375" style="165" bestFit="1" customWidth="1"/>
    <col min="7183" max="7183" width="13.75" style="165" bestFit="1" customWidth="1"/>
    <col min="7184" max="7424" width="9" style="165"/>
    <col min="7425" max="7425" width="13.875" style="165" bestFit="1" customWidth="1"/>
    <col min="7426" max="7426" width="9" style="165"/>
    <col min="7427" max="7428" width="11.375" style="165" customWidth="1"/>
    <col min="7429" max="7429" width="11.75" style="165" bestFit="1" customWidth="1"/>
    <col min="7430" max="7431" width="10.875" style="165" bestFit="1" customWidth="1"/>
    <col min="7432" max="7432" width="11.375" style="165" bestFit="1" customWidth="1"/>
    <col min="7433" max="7433" width="10.25" style="165" bestFit="1" customWidth="1"/>
    <col min="7434" max="7434" width="11.625" style="165" bestFit="1" customWidth="1"/>
    <col min="7435" max="7435" width="10.875" style="165" customWidth="1"/>
    <col min="7436" max="7438" width="11.375" style="165" bestFit="1" customWidth="1"/>
    <col min="7439" max="7439" width="13.75" style="165" bestFit="1" customWidth="1"/>
    <col min="7440" max="7680" width="9" style="165"/>
    <col min="7681" max="7681" width="13.875" style="165" bestFit="1" customWidth="1"/>
    <col min="7682" max="7682" width="9" style="165"/>
    <col min="7683" max="7684" width="11.375" style="165" customWidth="1"/>
    <col min="7685" max="7685" width="11.75" style="165" bestFit="1" customWidth="1"/>
    <col min="7686" max="7687" width="10.875" style="165" bestFit="1" customWidth="1"/>
    <col min="7688" max="7688" width="11.375" style="165" bestFit="1" customWidth="1"/>
    <col min="7689" max="7689" width="10.25" style="165" bestFit="1" customWidth="1"/>
    <col min="7690" max="7690" width="11.625" style="165" bestFit="1" customWidth="1"/>
    <col min="7691" max="7691" width="10.875" style="165" customWidth="1"/>
    <col min="7692" max="7694" width="11.375" style="165" bestFit="1" customWidth="1"/>
    <col min="7695" max="7695" width="13.75" style="165" bestFit="1" customWidth="1"/>
    <col min="7696" max="7936" width="9" style="165"/>
    <col min="7937" max="7937" width="13.875" style="165" bestFit="1" customWidth="1"/>
    <col min="7938" max="7938" width="9" style="165"/>
    <col min="7939" max="7940" width="11.375" style="165" customWidth="1"/>
    <col min="7941" max="7941" width="11.75" style="165" bestFit="1" customWidth="1"/>
    <col min="7942" max="7943" width="10.875" style="165" bestFit="1" customWidth="1"/>
    <col min="7944" max="7944" width="11.375" style="165" bestFit="1" customWidth="1"/>
    <col min="7945" max="7945" width="10.25" style="165" bestFit="1" customWidth="1"/>
    <col min="7946" max="7946" width="11.625" style="165" bestFit="1" customWidth="1"/>
    <col min="7947" max="7947" width="10.875" style="165" customWidth="1"/>
    <col min="7948" max="7950" width="11.375" style="165" bestFit="1" customWidth="1"/>
    <col min="7951" max="7951" width="13.75" style="165" bestFit="1" customWidth="1"/>
    <col min="7952" max="8192" width="9" style="165"/>
    <col min="8193" max="8193" width="13.875" style="165" bestFit="1" customWidth="1"/>
    <col min="8194" max="8194" width="9" style="165"/>
    <col min="8195" max="8196" width="11.375" style="165" customWidth="1"/>
    <col min="8197" max="8197" width="11.75" style="165" bestFit="1" customWidth="1"/>
    <col min="8198" max="8199" width="10.875" style="165" bestFit="1" customWidth="1"/>
    <col min="8200" max="8200" width="11.375" style="165" bestFit="1" customWidth="1"/>
    <col min="8201" max="8201" width="10.25" style="165" bestFit="1" customWidth="1"/>
    <col min="8202" max="8202" width="11.625" style="165" bestFit="1" customWidth="1"/>
    <col min="8203" max="8203" width="10.875" style="165" customWidth="1"/>
    <col min="8204" max="8206" width="11.375" style="165" bestFit="1" customWidth="1"/>
    <col min="8207" max="8207" width="13.75" style="165" bestFit="1" customWidth="1"/>
    <col min="8208" max="8448" width="9" style="165"/>
    <col min="8449" max="8449" width="13.875" style="165" bestFit="1" customWidth="1"/>
    <col min="8450" max="8450" width="9" style="165"/>
    <col min="8451" max="8452" width="11.375" style="165" customWidth="1"/>
    <col min="8453" max="8453" width="11.75" style="165" bestFit="1" customWidth="1"/>
    <col min="8454" max="8455" width="10.875" style="165" bestFit="1" customWidth="1"/>
    <col min="8456" max="8456" width="11.375" style="165" bestFit="1" customWidth="1"/>
    <col min="8457" max="8457" width="10.25" style="165" bestFit="1" customWidth="1"/>
    <col min="8458" max="8458" width="11.625" style="165" bestFit="1" customWidth="1"/>
    <col min="8459" max="8459" width="10.875" style="165" customWidth="1"/>
    <col min="8460" max="8462" width="11.375" style="165" bestFit="1" customWidth="1"/>
    <col min="8463" max="8463" width="13.75" style="165" bestFit="1" customWidth="1"/>
    <col min="8464" max="8704" width="9" style="165"/>
    <col min="8705" max="8705" width="13.875" style="165" bestFit="1" customWidth="1"/>
    <col min="8706" max="8706" width="9" style="165"/>
    <col min="8707" max="8708" width="11.375" style="165" customWidth="1"/>
    <col min="8709" max="8709" width="11.75" style="165" bestFit="1" customWidth="1"/>
    <col min="8710" max="8711" width="10.875" style="165" bestFit="1" customWidth="1"/>
    <col min="8712" max="8712" width="11.375" style="165" bestFit="1" customWidth="1"/>
    <col min="8713" max="8713" width="10.25" style="165" bestFit="1" customWidth="1"/>
    <col min="8714" max="8714" width="11.625" style="165" bestFit="1" customWidth="1"/>
    <col min="8715" max="8715" width="10.875" style="165" customWidth="1"/>
    <col min="8716" max="8718" width="11.375" style="165" bestFit="1" customWidth="1"/>
    <col min="8719" max="8719" width="13.75" style="165" bestFit="1" customWidth="1"/>
    <col min="8720" max="8960" width="9" style="165"/>
    <col min="8961" max="8961" width="13.875" style="165" bestFit="1" customWidth="1"/>
    <col min="8962" max="8962" width="9" style="165"/>
    <col min="8963" max="8964" width="11.375" style="165" customWidth="1"/>
    <col min="8965" max="8965" width="11.75" style="165" bestFit="1" customWidth="1"/>
    <col min="8966" max="8967" width="10.875" style="165" bestFit="1" customWidth="1"/>
    <col min="8968" max="8968" width="11.375" style="165" bestFit="1" customWidth="1"/>
    <col min="8969" max="8969" width="10.25" style="165" bestFit="1" customWidth="1"/>
    <col min="8970" max="8970" width="11.625" style="165" bestFit="1" customWidth="1"/>
    <col min="8971" max="8971" width="10.875" style="165" customWidth="1"/>
    <col min="8972" max="8974" width="11.375" style="165" bestFit="1" customWidth="1"/>
    <col min="8975" max="8975" width="13.75" style="165" bestFit="1" customWidth="1"/>
    <col min="8976" max="9216" width="9" style="165"/>
    <col min="9217" max="9217" width="13.875" style="165" bestFit="1" customWidth="1"/>
    <col min="9218" max="9218" width="9" style="165"/>
    <col min="9219" max="9220" width="11.375" style="165" customWidth="1"/>
    <col min="9221" max="9221" width="11.75" style="165" bestFit="1" customWidth="1"/>
    <col min="9222" max="9223" width="10.875" style="165" bestFit="1" customWidth="1"/>
    <col min="9224" max="9224" width="11.375" style="165" bestFit="1" customWidth="1"/>
    <col min="9225" max="9225" width="10.25" style="165" bestFit="1" customWidth="1"/>
    <col min="9226" max="9226" width="11.625" style="165" bestFit="1" customWidth="1"/>
    <col min="9227" max="9227" width="10.875" style="165" customWidth="1"/>
    <col min="9228" max="9230" width="11.375" style="165" bestFit="1" customWidth="1"/>
    <col min="9231" max="9231" width="13.75" style="165" bestFit="1" customWidth="1"/>
    <col min="9232" max="9472" width="9" style="165"/>
    <col min="9473" max="9473" width="13.875" style="165" bestFit="1" customWidth="1"/>
    <col min="9474" max="9474" width="9" style="165"/>
    <col min="9475" max="9476" width="11.375" style="165" customWidth="1"/>
    <col min="9477" max="9477" width="11.75" style="165" bestFit="1" customWidth="1"/>
    <col min="9478" max="9479" width="10.875" style="165" bestFit="1" customWidth="1"/>
    <col min="9480" max="9480" width="11.375" style="165" bestFit="1" customWidth="1"/>
    <col min="9481" max="9481" width="10.25" style="165" bestFit="1" customWidth="1"/>
    <col min="9482" max="9482" width="11.625" style="165" bestFit="1" customWidth="1"/>
    <col min="9483" max="9483" width="10.875" style="165" customWidth="1"/>
    <col min="9484" max="9486" width="11.375" style="165" bestFit="1" customWidth="1"/>
    <col min="9487" max="9487" width="13.75" style="165" bestFit="1" customWidth="1"/>
    <col min="9488" max="9728" width="9" style="165"/>
    <col min="9729" max="9729" width="13.875" style="165" bestFit="1" customWidth="1"/>
    <col min="9730" max="9730" width="9" style="165"/>
    <col min="9731" max="9732" width="11.375" style="165" customWidth="1"/>
    <col min="9733" max="9733" width="11.75" style="165" bestFit="1" customWidth="1"/>
    <col min="9734" max="9735" width="10.875" style="165" bestFit="1" customWidth="1"/>
    <col min="9736" max="9736" width="11.375" style="165" bestFit="1" customWidth="1"/>
    <col min="9737" max="9737" width="10.25" style="165" bestFit="1" customWidth="1"/>
    <col min="9738" max="9738" width="11.625" style="165" bestFit="1" customWidth="1"/>
    <col min="9739" max="9739" width="10.875" style="165" customWidth="1"/>
    <col min="9740" max="9742" width="11.375" style="165" bestFit="1" customWidth="1"/>
    <col min="9743" max="9743" width="13.75" style="165" bestFit="1" customWidth="1"/>
    <col min="9744" max="9984" width="9" style="165"/>
    <col min="9985" max="9985" width="13.875" style="165" bestFit="1" customWidth="1"/>
    <col min="9986" max="9986" width="9" style="165"/>
    <col min="9987" max="9988" width="11.375" style="165" customWidth="1"/>
    <col min="9989" max="9989" width="11.75" style="165" bestFit="1" customWidth="1"/>
    <col min="9990" max="9991" width="10.875" style="165" bestFit="1" customWidth="1"/>
    <col min="9992" max="9992" width="11.375" style="165" bestFit="1" customWidth="1"/>
    <col min="9993" max="9993" width="10.25" style="165" bestFit="1" customWidth="1"/>
    <col min="9994" max="9994" width="11.625" style="165" bestFit="1" customWidth="1"/>
    <col min="9995" max="9995" width="10.875" style="165" customWidth="1"/>
    <col min="9996" max="9998" width="11.375" style="165" bestFit="1" customWidth="1"/>
    <col min="9999" max="9999" width="13.75" style="165" bestFit="1" customWidth="1"/>
    <col min="10000" max="10240" width="9" style="165"/>
    <col min="10241" max="10241" width="13.875" style="165" bestFit="1" customWidth="1"/>
    <col min="10242" max="10242" width="9" style="165"/>
    <col min="10243" max="10244" width="11.375" style="165" customWidth="1"/>
    <col min="10245" max="10245" width="11.75" style="165" bestFit="1" customWidth="1"/>
    <col min="10246" max="10247" width="10.875" style="165" bestFit="1" customWidth="1"/>
    <col min="10248" max="10248" width="11.375" style="165" bestFit="1" customWidth="1"/>
    <col min="10249" max="10249" width="10.25" style="165" bestFit="1" customWidth="1"/>
    <col min="10250" max="10250" width="11.625" style="165" bestFit="1" customWidth="1"/>
    <col min="10251" max="10251" width="10.875" style="165" customWidth="1"/>
    <col min="10252" max="10254" width="11.375" style="165" bestFit="1" customWidth="1"/>
    <col min="10255" max="10255" width="13.75" style="165" bestFit="1" customWidth="1"/>
    <col min="10256" max="10496" width="9" style="165"/>
    <col min="10497" max="10497" width="13.875" style="165" bestFit="1" customWidth="1"/>
    <col min="10498" max="10498" width="9" style="165"/>
    <col min="10499" max="10500" width="11.375" style="165" customWidth="1"/>
    <col min="10501" max="10501" width="11.75" style="165" bestFit="1" customWidth="1"/>
    <col min="10502" max="10503" width="10.875" style="165" bestFit="1" customWidth="1"/>
    <col min="10504" max="10504" width="11.375" style="165" bestFit="1" customWidth="1"/>
    <col min="10505" max="10505" width="10.25" style="165" bestFit="1" customWidth="1"/>
    <col min="10506" max="10506" width="11.625" style="165" bestFit="1" customWidth="1"/>
    <col min="10507" max="10507" width="10.875" style="165" customWidth="1"/>
    <col min="10508" max="10510" width="11.375" style="165" bestFit="1" customWidth="1"/>
    <col min="10511" max="10511" width="13.75" style="165" bestFit="1" customWidth="1"/>
    <col min="10512" max="10752" width="9" style="165"/>
    <col min="10753" max="10753" width="13.875" style="165" bestFit="1" customWidth="1"/>
    <col min="10754" max="10754" width="9" style="165"/>
    <col min="10755" max="10756" width="11.375" style="165" customWidth="1"/>
    <col min="10757" max="10757" width="11.75" style="165" bestFit="1" customWidth="1"/>
    <col min="10758" max="10759" width="10.875" style="165" bestFit="1" customWidth="1"/>
    <col min="10760" max="10760" width="11.375" style="165" bestFit="1" customWidth="1"/>
    <col min="10761" max="10761" width="10.25" style="165" bestFit="1" customWidth="1"/>
    <col min="10762" max="10762" width="11.625" style="165" bestFit="1" customWidth="1"/>
    <col min="10763" max="10763" width="10.875" style="165" customWidth="1"/>
    <col min="10764" max="10766" width="11.375" style="165" bestFit="1" customWidth="1"/>
    <col min="10767" max="10767" width="13.75" style="165" bestFit="1" customWidth="1"/>
    <col min="10768" max="11008" width="9" style="165"/>
    <col min="11009" max="11009" width="13.875" style="165" bestFit="1" customWidth="1"/>
    <col min="11010" max="11010" width="9" style="165"/>
    <col min="11011" max="11012" width="11.375" style="165" customWidth="1"/>
    <col min="11013" max="11013" width="11.75" style="165" bestFit="1" customWidth="1"/>
    <col min="11014" max="11015" width="10.875" style="165" bestFit="1" customWidth="1"/>
    <col min="11016" max="11016" width="11.375" style="165" bestFit="1" customWidth="1"/>
    <col min="11017" max="11017" width="10.25" style="165" bestFit="1" customWidth="1"/>
    <col min="11018" max="11018" width="11.625" style="165" bestFit="1" customWidth="1"/>
    <col min="11019" max="11019" width="10.875" style="165" customWidth="1"/>
    <col min="11020" max="11022" width="11.375" style="165" bestFit="1" customWidth="1"/>
    <col min="11023" max="11023" width="13.75" style="165" bestFit="1" customWidth="1"/>
    <col min="11024" max="11264" width="9" style="165"/>
    <col min="11265" max="11265" width="13.875" style="165" bestFit="1" customWidth="1"/>
    <col min="11266" max="11266" width="9" style="165"/>
    <col min="11267" max="11268" width="11.375" style="165" customWidth="1"/>
    <col min="11269" max="11269" width="11.75" style="165" bestFit="1" customWidth="1"/>
    <col min="11270" max="11271" width="10.875" style="165" bestFit="1" customWidth="1"/>
    <col min="11272" max="11272" width="11.375" style="165" bestFit="1" customWidth="1"/>
    <col min="11273" max="11273" width="10.25" style="165" bestFit="1" customWidth="1"/>
    <col min="11274" max="11274" width="11.625" style="165" bestFit="1" customWidth="1"/>
    <col min="11275" max="11275" width="10.875" style="165" customWidth="1"/>
    <col min="11276" max="11278" width="11.375" style="165" bestFit="1" customWidth="1"/>
    <col min="11279" max="11279" width="13.75" style="165" bestFit="1" customWidth="1"/>
    <col min="11280" max="11520" width="9" style="165"/>
    <col min="11521" max="11521" width="13.875" style="165" bestFit="1" customWidth="1"/>
    <col min="11522" max="11522" width="9" style="165"/>
    <col min="11523" max="11524" width="11.375" style="165" customWidth="1"/>
    <col min="11525" max="11525" width="11.75" style="165" bestFit="1" customWidth="1"/>
    <col min="11526" max="11527" width="10.875" style="165" bestFit="1" customWidth="1"/>
    <col min="11528" max="11528" width="11.375" style="165" bestFit="1" customWidth="1"/>
    <col min="11529" max="11529" width="10.25" style="165" bestFit="1" customWidth="1"/>
    <col min="11530" max="11530" width="11.625" style="165" bestFit="1" customWidth="1"/>
    <col min="11531" max="11531" width="10.875" style="165" customWidth="1"/>
    <col min="11532" max="11534" width="11.375" style="165" bestFit="1" customWidth="1"/>
    <col min="11535" max="11535" width="13.75" style="165" bestFit="1" customWidth="1"/>
    <col min="11536" max="11776" width="9" style="165"/>
    <col min="11777" max="11777" width="13.875" style="165" bestFit="1" customWidth="1"/>
    <col min="11778" max="11778" width="9" style="165"/>
    <col min="11779" max="11780" width="11.375" style="165" customWidth="1"/>
    <col min="11781" max="11781" width="11.75" style="165" bestFit="1" customWidth="1"/>
    <col min="11782" max="11783" width="10.875" style="165" bestFit="1" customWidth="1"/>
    <col min="11784" max="11784" width="11.375" style="165" bestFit="1" customWidth="1"/>
    <col min="11785" max="11785" width="10.25" style="165" bestFit="1" customWidth="1"/>
    <col min="11786" max="11786" width="11.625" style="165" bestFit="1" customWidth="1"/>
    <col min="11787" max="11787" width="10.875" style="165" customWidth="1"/>
    <col min="11788" max="11790" width="11.375" style="165" bestFit="1" customWidth="1"/>
    <col min="11791" max="11791" width="13.75" style="165" bestFit="1" customWidth="1"/>
    <col min="11792" max="12032" width="9" style="165"/>
    <col min="12033" max="12033" width="13.875" style="165" bestFit="1" customWidth="1"/>
    <col min="12034" max="12034" width="9" style="165"/>
    <col min="12035" max="12036" width="11.375" style="165" customWidth="1"/>
    <col min="12037" max="12037" width="11.75" style="165" bestFit="1" customWidth="1"/>
    <col min="12038" max="12039" width="10.875" style="165" bestFit="1" customWidth="1"/>
    <col min="12040" max="12040" width="11.375" style="165" bestFit="1" customWidth="1"/>
    <col min="12041" max="12041" width="10.25" style="165" bestFit="1" customWidth="1"/>
    <col min="12042" max="12042" width="11.625" style="165" bestFit="1" customWidth="1"/>
    <col min="12043" max="12043" width="10.875" style="165" customWidth="1"/>
    <col min="12044" max="12046" width="11.375" style="165" bestFit="1" customWidth="1"/>
    <col min="12047" max="12047" width="13.75" style="165" bestFit="1" customWidth="1"/>
    <col min="12048" max="12288" width="9" style="165"/>
    <col min="12289" max="12289" width="13.875" style="165" bestFit="1" customWidth="1"/>
    <col min="12290" max="12290" width="9" style="165"/>
    <col min="12291" max="12292" width="11.375" style="165" customWidth="1"/>
    <col min="12293" max="12293" width="11.75" style="165" bestFit="1" customWidth="1"/>
    <col min="12294" max="12295" width="10.875" style="165" bestFit="1" customWidth="1"/>
    <col min="12296" max="12296" width="11.375" style="165" bestFit="1" customWidth="1"/>
    <col min="12297" max="12297" width="10.25" style="165" bestFit="1" customWidth="1"/>
    <col min="12298" max="12298" width="11.625" style="165" bestFit="1" customWidth="1"/>
    <col min="12299" max="12299" width="10.875" style="165" customWidth="1"/>
    <col min="12300" max="12302" width="11.375" style="165" bestFit="1" customWidth="1"/>
    <col min="12303" max="12303" width="13.75" style="165" bestFit="1" customWidth="1"/>
    <col min="12304" max="12544" width="9" style="165"/>
    <col min="12545" max="12545" width="13.875" style="165" bestFit="1" customWidth="1"/>
    <col min="12546" max="12546" width="9" style="165"/>
    <col min="12547" max="12548" width="11.375" style="165" customWidth="1"/>
    <col min="12549" max="12549" width="11.75" style="165" bestFit="1" customWidth="1"/>
    <col min="12550" max="12551" width="10.875" style="165" bestFit="1" customWidth="1"/>
    <col min="12552" max="12552" width="11.375" style="165" bestFit="1" customWidth="1"/>
    <col min="12553" max="12553" width="10.25" style="165" bestFit="1" customWidth="1"/>
    <col min="12554" max="12554" width="11.625" style="165" bestFit="1" customWidth="1"/>
    <col min="12555" max="12555" width="10.875" style="165" customWidth="1"/>
    <col min="12556" max="12558" width="11.375" style="165" bestFit="1" customWidth="1"/>
    <col min="12559" max="12559" width="13.75" style="165" bestFit="1" customWidth="1"/>
    <col min="12560" max="12800" width="9" style="165"/>
    <col min="12801" max="12801" width="13.875" style="165" bestFit="1" customWidth="1"/>
    <col min="12802" max="12802" width="9" style="165"/>
    <col min="12803" max="12804" width="11.375" style="165" customWidth="1"/>
    <col min="12805" max="12805" width="11.75" style="165" bestFit="1" customWidth="1"/>
    <col min="12806" max="12807" width="10.875" style="165" bestFit="1" customWidth="1"/>
    <col min="12808" max="12808" width="11.375" style="165" bestFit="1" customWidth="1"/>
    <col min="12809" max="12809" width="10.25" style="165" bestFit="1" customWidth="1"/>
    <col min="12810" max="12810" width="11.625" style="165" bestFit="1" customWidth="1"/>
    <col min="12811" max="12811" width="10.875" style="165" customWidth="1"/>
    <col min="12812" max="12814" width="11.375" style="165" bestFit="1" customWidth="1"/>
    <col min="12815" max="12815" width="13.75" style="165" bestFit="1" customWidth="1"/>
    <col min="12816" max="13056" width="9" style="165"/>
    <col min="13057" max="13057" width="13.875" style="165" bestFit="1" customWidth="1"/>
    <col min="13058" max="13058" width="9" style="165"/>
    <col min="13059" max="13060" width="11.375" style="165" customWidth="1"/>
    <col min="13061" max="13061" width="11.75" style="165" bestFit="1" customWidth="1"/>
    <col min="13062" max="13063" width="10.875" style="165" bestFit="1" customWidth="1"/>
    <col min="13064" max="13064" width="11.375" style="165" bestFit="1" customWidth="1"/>
    <col min="13065" max="13065" width="10.25" style="165" bestFit="1" customWidth="1"/>
    <col min="13066" max="13066" width="11.625" style="165" bestFit="1" customWidth="1"/>
    <col min="13067" max="13067" width="10.875" style="165" customWidth="1"/>
    <col min="13068" max="13070" width="11.375" style="165" bestFit="1" customWidth="1"/>
    <col min="13071" max="13071" width="13.75" style="165" bestFit="1" customWidth="1"/>
    <col min="13072" max="13312" width="9" style="165"/>
    <col min="13313" max="13313" width="13.875" style="165" bestFit="1" customWidth="1"/>
    <col min="13314" max="13314" width="9" style="165"/>
    <col min="13315" max="13316" width="11.375" style="165" customWidth="1"/>
    <col min="13317" max="13317" width="11.75" style="165" bestFit="1" customWidth="1"/>
    <col min="13318" max="13319" width="10.875" style="165" bestFit="1" customWidth="1"/>
    <col min="13320" max="13320" width="11.375" style="165" bestFit="1" customWidth="1"/>
    <col min="13321" max="13321" width="10.25" style="165" bestFit="1" customWidth="1"/>
    <col min="13322" max="13322" width="11.625" style="165" bestFit="1" customWidth="1"/>
    <col min="13323" max="13323" width="10.875" style="165" customWidth="1"/>
    <col min="13324" max="13326" width="11.375" style="165" bestFit="1" customWidth="1"/>
    <col min="13327" max="13327" width="13.75" style="165" bestFit="1" customWidth="1"/>
    <col min="13328" max="13568" width="9" style="165"/>
    <col min="13569" max="13569" width="13.875" style="165" bestFit="1" customWidth="1"/>
    <col min="13570" max="13570" width="9" style="165"/>
    <col min="13571" max="13572" width="11.375" style="165" customWidth="1"/>
    <col min="13573" max="13573" width="11.75" style="165" bestFit="1" customWidth="1"/>
    <col min="13574" max="13575" width="10.875" style="165" bestFit="1" customWidth="1"/>
    <col min="13576" max="13576" width="11.375" style="165" bestFit="1" customWidth="1"/>
    <col min="13577" max="13577" width="10.25" style="165" bestFit="1" customWidth="1"/>
    <col min="13578" max="13578" width="11.625" style="165" bestFit="1" customWidth="1"/>
    <col min="13579" max="13579" width="10.875" style="165" customWidth="1"/>
    <col min="13580" max="13582" width="11.375" style="165" bestFit="1" customWidth="1"/>
    <col min="13583" max="13583" width="13.75" style="165" bestFit="1" customWidth="1"/>
    <col min="13584" max="13824" width="9" style="165"/>
    <col min="13825" max="13825" width="13.875" style="165" bestFit="1" customWidth="1"/>
    <col min="13826" max="13826" width="9" style="165"/>
    <col min="13827" max="13828" width="11.375" style="165" customWidth="1"/>
    <col min="13829" max="13829" width="11.75" style="165" bestFit="1" customWidth="1"/>
    <col min="13830" max="13831" width="10.875" style="165" bestFit="1" customWidth="1"/>
    <col min="13832" max="13832" width="11.375" style="165" bestFit="1" customWidth="1"/>
    <col min="13833" max="13833" width="10.25" style="165" bestFit="1" customWidth="1"/>
    <col min="13834" max="13834" width="11.625" style="165" bestFit="1" customWidth="1"/>
    <col min="13835" max="13835" width="10.875" style="165" customWidth="1"/>
    <col min="13836" max="13838" width="11.375" style="165" bestFit="1" customWidth="1"/>
    <col min="13839" max="13839" width="13.75" style="165" bestFit="1" customWidth="1"/>
    <col min="13840" max="14080" width="9" style="165"/>
    <col min="14081" max="14081" width="13.875" style="165" bestFit="1" customWidth="1"/>
    <col min="14082" max="14082" width="9" style="165"/>
    <col min="14083" max="14084" width="11.375" style="165" customWidth="1"/>
    <col min="14085" max="14085" width="11.75" style="165" bestFit="1" customWidth="1"/>
    <col min="14086" max="14087" width="10.875" style="165" bestFit="1" customWidth="1"/>
    <col min="14088" max="14088" width="11.375" style="165" bestFit="1" customWidth="1"/>
    <col min="14089" max="14089" width="10.25" style="165" bestFit="1" customWidth="1"/>
    <col min="14090" max="14090" width="11.625" style="165" bestFit="1" customWidth="1"/>
    <col min="14091" max="14091" width="10.875" style="165" customWidth="1"/>
    <col min="14092" max="14094" width="11.375" style="165" bestFit="1" customWidth="1"/>
    <col min="14095" max="14095" width="13.75" style="165" bestFit="1" customWidth="1"/>
    <col min="14096" max="14336" width="9" style="165"/>
    <col min="14337" max="14337" width="13.875" style="165" bestFit="1" customWidth="1"/>
    <col min="14338" max="14338" width="9" style="165"/>
    <col min="14339" max="14340" width="11.375" style="165" customWidth="1"/>
    <col min="14341" max="14341" width="11.75" style="165" bestFit="1" customWidth="1"/>
    <col min="14342" max="14343" width="10.875" style="165" bestFit="1" customWidth="1"/>
    <col min="14344" max="14344" width="11.375" style="165" bestFit="1" customWidth="1"/>
    <col min="14345" max="14345" width="10.25" style="165" bestFit="1" customWidth="1"/>
    <col min="14346" max="14346" width="11.625" style="165" bestFit="1" customWidth="1"/>
    <col min="14347" max="14347" width="10.875" style="165" customWidth="1"/>
    <col min="14348" max="14350" width="11.375" style="165" bestFit="1" customWidth="1"/>
    <col min="14351" max="14351" width="13.75" style="165" bestFit="1" customWidth="1"/>
    <col min="14352" max="14592" width="9" style="165"/>
    <col min="14593" max="14593" width="13.875" style="165" bestFit="1" customWidth="1"/>
    <col min="14594" max="14594" width="9" style="165"/>
    <col min="14595" max="14596" width="11.375" style="165" customWidth="1"/>
    <col min="14597" max="14597" width="11.75" style="165" bestFit="1" customWidth="1"/>
    <col min="14598" max="14599" width="10.875" style="165" bestFit="1" customWidth="1"/>
    <col min="14600" max="14600" width="11.375" style="165" bestFit="1" customWidth="1"/>
    <col min="14601" max="14601" width="10.25" style="165" bestFit="1" customWidth="1"/>
    <col min="14602" max="14602" width="11.625" style="165" bestFit="1" customWidth="1"/>
    <col min="14603" max="14603" width="10.875" style="165" customWidth="1"/>
    <col min="14604" max="14606" width="11.375" style="165" bestFit="1" customWidth="1"/>
    <col min="14607" max="14607" width="13.75" style="165" bestFit="1" customWidth="1"/>
    <col min="14608" max="14848" width="9" style="165"/>
    <col min="14849" max="14849" width="13.875" style="165" bestFit="1" customWidth="1"/>
    <col min="14850" max="14850" width="9" style="165"/>
    <col min="14851" max="14852" width="11.375" style="165" customWidth="1"/>
    <col min="14853" max="14853" width="11.75" style="165" bestFit="1" customWidth="1"/>
    <col min="14854" max="14855" width="10.875" style="165" bestFit="1" customWidth="1"/>
    <col min="14856" max="14856" width="11.375" style="165" bestFit="1" customWidth="1"/>
    <col min="14857" max="14857" width="10.25" style="165" bestFit="1" customWidth="1"/>
    <col min="14858" max="14858" width="11.625" style="165" bestFit="1" customWidth="1"/>
    <col min="14859" max="14859" width="10.875" style="165" customWidth="1"/>
    <col min="14860" max="14862" width="11.375" style="165" bestFit="1" customWidth="1"/>
    <col min="14863" max="14863" width="13.75" style="165" bestFit="1" customWidth="1"/>
    <col min="14864" max="15104" width="9" style="165"/>
    <col min="15105" max="15105" width="13.875" style="165" bestFit="1" customWidth="1"/>
    <col min="15106" max="15106" width="9" style="165"/>
    <col min="15107" max="15108" width="11.375" style="165" customWidth="1"/>
    <col min="15109" max="15109" width="11.75" style="165" bestFit="1" customWidth="1"/>
    <col min="15110" max="15111" width="10.875" style="165" bestFit="1" customWidth="1"/>
    <col min="15112" max="15112" width="11.375" style="165" bestFit="1" customWidth="1"/>
    <col min="15113" max="15113" width="10.25" style="165" bestFit="1" customWidth="1"/>
    <col min="15114" max="15114" width="11.625" style="165" bestFit="1" customWidth="1"/>
    <col min="15115" max="15115" width="10.875" style="165" customWidth="1"/>
    <col min="15116" max="15118" width="11.375" style="165" bestFit="1" customWidth="1"/>
    <col min="15119" max="15119" width="13.75" style="165" bestFit="1" customWidth="1"/>
    <col min="15120" max="15360" width="9" style="165"/>
    <col min="15361" max="15361" width="13.875" style="165" bestFit="1" customWidth="1"/>
    <col min="15362" max="15362" width="9" style="165"/>
    <col min="15363" max="15364" width="11.375" style="165" customWidth="1"/>
    <col min="15365" max="15365" width="11.75" style="165" bestFit="1" customWidth="1"/>
    <col min="15366" max="15367" width="10.875" style="165" bestFit="1" customWidth="1"/>
    <col min="15368" max="15368" width="11.375" style="165" bestFit="1" customWidth="1"/>
    <col min="15369" max="15369" width="10.25" style="165" bestFit="1" customWidth="1"/>
    <col min="15370" max="15370" width="11.625" style="165" bestFit="1" customWidth="1"/>
    <col min="15371" max="15371" width="10.875" style="165" customWidth="1"/>
    <col min="15372" max="15374" width="11.375" style="165" bestFit="1" customWidth="1"/>
    <col min="15375" max="15375" width="13.75" style="165" bestFit="1" customWidth="1"/>
    <col min="15376" max="15616" width="9" style="165"/>
    <col min="15617" max="15617" width="13.875" style="165" bestFit="1" customWidth="1"/>
    <col min="15618" max="15618" width="9" style="165"/>
    <col min="15619" max="15620" width="11.375" style="165" customWidth="1"/>
    <col min="15621" max="15621" width="11.75" style="165" bestFit="1" customWidth="1"/>
    <col min="15622" max="15623" width="10.875" style="165" bestFit="1" customWidth="1"/>
    <col min="15624" max="15624" width="11.375" style="165" bestFit="1" customWidth="1"/>
    <col min="15625" max="15625" width="10.25" style="165" bestFit="1" customWidth="1"/>
    <col min="15626" max="15626" width="11.625" style="165" bestFit="1" customWidth="1"/>
    <col min="15627" max="15627" width="10.875" style="165" customWidth="1"/>
    <col min="15628" max="15630" width="11.375" style="165" bestFit="1" customWidth="1"/>
    <col min="15631" max="15631" width="13.75" style="165" bestFit="1" customWidth="1"/>
    <col min="15632" max="15872" width="9" style="165"/>
    <col min="15873" max="15873" width="13.875" style="165" bestFit="1" customWidth="1"/>
    <col min="15874" max="15874" width="9" style="165"/>
    <col min="15875" max="15876" width="11.375" style="165" customWidth="1"/>
    <col min="15877" max="15877" width="11.75" style="165" bestFit="1" customWidth="1"/>
    <col min="15878" max="15879" width="10.875" style="165" bestFit="1" customWidth="1"/>
    <col min="15880" max="15880" width="11.375" style="165" bestFit="1" customWidth="1"/>
    <col min="15881" max="15881" width="10.25" style="165" bestFit="1" customWidth="1"/>
    <col min="15882" max="15882" width="11.625" style="165" bestFit="1" customWidth="1"/>
    <col min="15883" max="15883" width="10.875" style="165" customWidth="1"/>
    <col min="15884" max="15886" width="11.375" style="165" bestFit="1" customWidth="1"/>
    <col min="15887" max="15887" width="13.75" style="165" bestFit="1" customWidth="1"/>
    <col min="15888" max="16128" width="9" style="165"/>
    <col min="16129" max="16129" width="13.875" style="165" bestFit="1" customWidth="1"/>
    <col min="16130" max="16130" width="9" style="165"/>
    <col min="16131" max="16132" width="11.375" style="165" customWidth="1"/>
    <col min="16133" max="16133" width="11.75" style="165" bestFit="1" customWidth="1"/>
    <col min="16134" max="16135" width="10.875" style="165" bestFit="1" customWidth="1"/>
    <col min="16136" max="16136" width="11.375" style="165" bestFit="1" customWidth="1"/>
    <col min="16137" max="16137" width="10.25" style="165" bestFit="1" customWidth="1"/>
    <col min="16138" max="16138" width="11.625" style="165" bestFit="1" customWidth="1"/>
    <col min="16139" max="16139" width="10.875" style="165" customWidth="1"/>
    <col min="16140" max="16142" width="11.375" style="165" bestFit="1" customWidth="1"/>
    <col min="16143" max="16143" width="13.75" style="165" bestFit="1" customWidth="1"/>
    <col min="16144" max="16384" width="9" style="165"/>
  </cols>
  <sheetData>
    <row r="1" spans="1:15" ht="26.25" customHeight="1" x14ac:dyDescent="0.2">
      <c r="A1" s="245" t="s">
        <v>177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</row>
    <row r="2" spans="1:15" ht="11.25" customHeight="1" thickBo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1:15" ht="16.5" customHeight="1" thickBot="1" x14ac:dyDescent="0.2">
      <c r="A3" s="173" t="s">
        <v>143</v>
      </c>
      <c r="B3" s="174"/>
      <c r="C3" s="175" t="s">
        <v>144</v>
      </c>
      <c r="D3" s="175" t="s">
        <v>145</v>
      </c>
      <c r="E3" s="175" t="s">
        <v>146</v>
      </c>
      <c r="F3" s="175" t="s">
        <v>147</v>
      </c>
      <c r="G3" s="175" t="s">
        <v>148</v>
      </c>
      <c r="H3" s="176" t="s">
        <v>178</v>
      </c>
      <c r="I3" s="175" t="s">
        <v>179</v>
      </c>
      <c r="J3" s="175" t="s">
        <v>149</v>
      </c>
      <c r="K3" s="175" t="s">
        <v>150</v>
      </c>
      <c r="L3" s="175" t="s">
        <v>151</v>
      </c>
      <c r="M3" s="175" t="s">
        <v>152</v>
      </c>
      <c r="N3" s="175" t="s">
        <v>153</v>
      </c>
      <c r="O3" s="175" t="s">
        <v>154</v>
      </c>
    </row>
    <row r="4" spans="1:15" ht="16.5" customHeight="1" x14ac:dyDescent="0.15">
      <c r="A4" s="257"/>
      <c r="B4" s="164" t="s">
        <v>21</v>
      </c>
      <c r="C4" s="102">
        <v>2442925</v>
      </c>
      <c r="D4" s="102">
        <v>2542350</v>
      </c>
      <c r="E4" s="102">
        <v>2630625</v>
      </c>
      <c r="F4" s="102">
        <v>2652325</v>
      </c>
      <c r="G4" s="102">
        <v>2599950</v>
      </c>
      <c r="H4" s="102"/>
      <c r="I4" s="102"/>
      <c r="J4" s="102"/>
      <c r="K4" s="102"/>
      <c r="L4" s="102"/>
      <c r="M4" s="102"/>
      <c r="N4" s="102"/>
      <c r="O4" s="103">
        <f>SUM(C4:N4)</f>
        <v>12868175</v>
      </c>
    </row>
    <row r="5" spans="1:15" ht="16.5" customHeight="1" x14ac:dyDescent="0.15">
      <c r="A5" s="247"/>
      <c r="B5" s="166" t="s">
        <v>155</v>
      </c>
      <c r="C5" s="105">
        <v>1419713</v>
      </c>
      <c r="D5" s="105">
        <v>1515363</v>
      </c>
      <c r="E5" s="105">
        <v>1586070</v>
      </c>
      <c r="F5" s="105">
        <v>1606990</v>
      </c>
      <c r="G5" s="105">
        <v>1578465</v>
      </c>
      <c r="H5" s="105"/>
      <c r="I5" s="105"/>
      <c r="J5" s="105"/>
      <c r="K5" s="105"/>
      <c r="L5" s="105"/>
      <c r="M5" s="105"/>
      <c r="N5" s="105"/>
      <c r="O5" s="105">
        <f t="shared" ref="O5:O15" si="0">SUM(C5:N5)</f>
        <v>7706601</v>
      </c>
    </row>
    <row r="6" spans="1:15" ht="16.5" customHeight="1" x14ac:dyDescent="0.15">
      <c r="A6" s="247"/>
      <c r="B6" s="166" t="s">
        <v>156</v>
      </c>
      <c r="C6" s="105">
        <v>18300</v>
      </c>
      <c r="D6" s="105">
        <v>17400</v>
      </c>
      <c r="E6" s="105">
        <v>19200</v>
      </c>
      <c r="F6" s="105">
        <v>15900</v>
      </c>
      <c r="G6" s="105">
        <v>15600</v>
      </c>
      <c r="H6" s="105"/>
      <c r="I6" s="105"/>
      <c r="J6" s="105"/>
      <c r="K6" s="105"/>
      <c r="L6" s="105"/>
      <c r="M6" s="105"/>
      <c r="N6" s="105"/>
      <c r="O6" s="105">
        <f t="shared" si="0"/>
        <v>86400</v>
      </c>
    </row>
    <row r="7" spans="1:15" ht="16.5" customHeight="1" x14ac:dyDescent="0.15">
      <c r="A7" s="247"/>
      <c r="B7" s="166" t="s">
        <v>26</v>
      </c>
      <c r="C7" s="105">
        <v>91100</v>
      </c>
      <c r="D7" s="105">
        <v>96440</v>
      </c>
      <c r="E7" s="105">
        <v>97480</v>
      </c>
      <c r="F7" s="105">
        <v>88580</v>
      </c>
      <c r="G7" s="105">
        <v>86380</v>
      </c>
      <c r="H7" s="105"/>
      <c r="I7" s="105"/>
      <c r="J7" s="105"/>
      <c r="K7" s="105"/>
      <c r="L7" s="105"/>
      <c r="M7" s="105"/>
      <c r="N7" s="105"/>
      <c r="O7" s="105">
        <f t="shared" si="0"/>
        <v>459980</v>
      </c>
    </row>
    <row r="8" spans="1:15" ht="16.5" customHeight="1" x14ac:dyDescent="0.15">
      <c r="A8" s="247"/>
      <c r="B8" s="166" t="s">
        <v>66</v>
      </c>
      <c r="C8" s="106">
        <v>0</v>
      </c>
      <c r="D8" s="105">
        <v>0</v>
      </c>
      <c r="E8" s="105">
        <v>0</v>
      </c>
      <c r="F8" s="105">
        <v>0</v>
      </c>
      <c r="G8" s="105">
        <v>0</v>
      </c>
      <c r="H8" s="105"/>
      <c r="I8" s="106"/>
      <c r="J8" s="106"/>
      <c r="K8" s="106"/>
      <c r="L8" s="106"/>
      <c r="M8" s="106"/>
      <c r="N8" s="106"/>
      <c r="O8" s="105">
        <f t="shared" si="0"/>
        <v>0</v>
      </c>
    </row>
    <row r="9" spans="1:15" ht="16.5" customHeight="1" x14ac:dyDescent="0.15">
      <c r="A9" s="247"/>
      <c r="B9" s="166" t="s">
        <v>22</v>
      </c>
      <c r="C9" s="105">
        <v>80480</v>
      </c>
      <c r="D9" s="105">
        <v>80480</v>
      </c>
      <c r="E9" s="105">
        <v>80480</v>
      </c>
      <c r="F9" s="105">
        <v>72935</v>
      </c>
      <c r="G9" s="105">
        <v>72935</v>
      </c>
      <c r="H9" s="105"/>
      <c r="I9" s="105"/>
      <c r="J9" s="105"/>
      <c r="K9" s="105"/>
      <c r="L9" s="105"/>
      <c r="M9" s="105"/>
      <c r="N9" s="105"/>
      <c r="O9" s="105">
        <f t="shared" si="0"/>
        <v>387310</v>
      </c>
    </row>
    <row r="10" spans="1:15" ht="16.5" customHeight="1" x14ac:dyDescent="0.15">
      <c r="A10" s="247"/>
      <c r="B10" s="166" t="s">
        <v>67</v>
      </c>
      <c r="C10" s="105">
        <v>9530</v>
      </c>
      <c r="D10" s="105">
        <v>9530</v>
      </c>
      <c r="E10" s="105">
        <v>9530</v>
      </c>
      <c r="F10" s="105">
        <v>8368</v>
      </c>
      <c r="G10" s="105">
        <v>8368</v>
      </c>
      <c r="H10" s="105"/>
      <c r="I10" s="105"/>
      <c r="J10" s="105"/>
      <c r="K10" s="105"/>
      <c r="L10" s="105"/>
      <c r="M10" s="105"/>
      <c r="N10" s="105"/>
      <c r="O10" s="105">
        <f t="shared" si="0"/>
        <v>45326</v>
      </c>
    </row>
    <row r="11" spans="1:15" ht="16.5" customHeight="1" x14ac:dyDescent="0.15">
      <c r="A11" s="247"/>
      <c r="B11" s="166" t="s">
        <v>23</v>
      </c>
      <c r="C11" s="105">
        <v>134126</v>
      </c>
      <c r="D11" s="105">
        <v>134126</v>
      </c>
      <c r="E11" s="105">
        <v>134126</v>
      </c>
      <c r="F11" s="105">
        <v>121552</v>
      </c>
      <c r="G11" s="105">
        <v>121552</v>
      </c>
      <c r="H11" s="105"/>
      <c r="I11" s="105"/>
      <c r="J11" s="105"/>
      <c r="K11" s="105"/>
      <c r="L11" s="105"/>
      <c r="M11" s="105"/>
      <c r="N11" s="105"/>
      <c r="O11" s="105">
        <f t="shared" si="0"/>
        <v>645482</v>
      </c>
    </row>
    <row r="12" spans="1:15" ht="16.5" customHeight="1" x14ac:dyDescent="0.15">
      <c r="A12" s="247"/>
      <c r="B12" s="166" t="s">
        <v>157</v>
      </c>
      <c r="C12" s="105">
        <v>12105</v>
      </c>
      <c r="D12" s="105">
        <v>13849</v>
      </c>
      <c r="E12" s="105">
        <v>14475</v>
      </c>
      <c r="F12" s="105">
        <v>14549</v>
      </c>
      <c r="G12" s="105">
        <v>14286</v>
      </c>
      <c r="H12" s="105"/>
      <c r="I12" s="105"/>
      <c r="J12" s="105"/>
      <c r="K12" s="105"/>
      <c r="L12" s="105"/>
      <c r="M12" s="105"/>
      <c r="N12" s="105"/>
      <c r="O12" s="105">
        <f t="shared" si="0"/>
        <v>69264</v>
      </c>
    </row>
    <row r="13" spans="1:15" ht="16.5" customHeight="1" x14ac:dyDescent="0.15">
      <c r="A13" s="247"/>
      <c r="B13" s="166" t="s">
        <v>158</v>
      </c>
      <c r="C13" s="105">
        <v>1529113</v>
      </c>
      <c r="D13" s="105">
        <v>1629203</v>
      </c>
      <c r="E13" s="105">
        <v>1702750</v>
      </c>
      <c r="F13" s="105">
        <v>1711470</v>
      </c>
      <c r="G13" s="105">
        <v>1680445</v>
      </c>
      <c r="H13" s="105"/>
      <c r="I13" s="105"/>
      <c r="J13" s="105"/>
      <c r="K13" s="105"/>
      <c r="L13" s="105"/>
      <c r="M13" s="105"/>
      <c r="N13" s="105"/>
      <c r="O13" s="105">
        <f t="shared" si="0"/>
        <v>8252981</v>
      </c>
    </row>
    <row r="14" spans="1:15" ht="16.5" customHeight="1" x14ac:dyDescent="0.15">
      <c r="A14" s="247"/>
      <c r="B14" s="171"/>
      <c r="C14" s="107"/>
      <c r="D14" s="107">
        <v>10</v>
      </c>
      <c r="E14" s="107">
        <v>10</v>
      </c>
      <c r="F14" s="107">
        <v>11</v>
      </c>
      <c r="G14" s="107">
        <v>10</v>
      </c>
      <c r="H14" s="107"/>
      <c r="I14" s="107"/>
      <c r="J14" s="107"/>
      <c r="K14" s="107"/>
      <c r="L14" s="107"/>
      <c r="M14" s="107"/>
      <c r="N14" s="107"/>
      <c r="O14" s="107"/>
    </row>
    <row r="15" spans="1:15" ht="16.5" customHeight="1" thickBot="1" x14ac:dyDescent="0.2">
      <c r="A15" s="247"/>
      <c r="B15" s="171" t="s">
        <v>171</v>
      </c>
      <c r="C15" s="107">
        <v>1</v>
      </c>
      <c r="D15" s="107">
        <v>6</v>
      </c>
      <c r="E15" s="107">
        <v>6</v>
      </c>
      <c r="F15" s="107">
        <v>6</v>
      </c>
      <c r="G15" s="107">
        <v>6</v>
      </c>
      <c r="H15" s="107"/>
      <c r="I15" s="107"/>
      <c r="J15" s="107"/>
      <c r="K15" s="107"/>
      <c r="L15" s="107"/>
      <c r="M15" s="107"/>
      <c r="N15" s="107"/>
      <c r="O15" s="168">
        <f t="shared" si="0"/>
        <v>25</v>
      </c>
    </row>
    <row r="16" spans="1:15" ht="16.5" customHeight="1" thickTop="1" x14ac:dyDescent="0.15">
      <c r="A16" s="247"/>
      <c r="B16" s="169" t="s">
        <v>159</v>
      </c>
      <c r="C16" s="110">
        <f>IF(C4="","",C4-SUM(C5:C12))</f>
        <v>677571</v>
      </c>
      <c r="D16" s="110">
        <v>675162</v>
      </c>
      <c r="E16" s="110">
        <v>689264</v>
      </c>
      <c r="F16" s="110">
        <v>723451</v>
      </c>
      <c r="G16" s="110">
        <v>702364</v>
      </c>
      <c r="H16" s="110" t="str">
        <f t="shared" ref="H16:M16" si="1">IF(H4="","",H4-SUM(H5:H12))</f>
        <v/>
      </c>
      <c r="I16" s="110" t="str">
        <f t="shared" si="1"/>
        <v/>
      </c>
      <c r="J16" s="110" t="str">
        <f t="shared" si="1"/>
        <v/>
      </c>
      <c r="K16" s="110" t="str">
        <f t="shared" si="1"/>
        <v/>
      </c>
      <c r="L16" s="110" t="str">
        <f t="shared" si="1"/>
        <v/>
      </c>
      <c r="M16" s="110" t="str">
        <f t="shared" si="1"/>
        <v/>
      </c>
      <c r="N16" s="110" t="str">
        <f>IF(N4="","",N4-SUM(N5:N12))</f>
        <v/>
      </c>
      <c r="O16" s="110">
        <f>IF(O4="","",O4-SUM(O5:O12))</f>
        <v>3467812</v>
      </c>
    </row>
    <row r="17" spans="1:15" ht="16.5" customHeight="1" thickBot="1" x14ac:dyDescent="0.2">
      <c r="A17" s="248"/>
      <c r="B17" s="170" t="s">
        <v>160</v>
      </c>
      <c r="C17" s="112">
        <f>IF(C4="","",IF(C4=0,"―     ",C16/C4))</f>
        <v>0.27736054115455855</v>
      </c>
      <c r="D17" s="112">
        <v>0.26556611009499087</v>
      </c>
      <c r="E17" s="112">
        <v>0.26201530054644806</v>
      </c>
      <c r="F17" s="112">
        <v>0.27276106811948009</v>
      </c>
      <c r="G17" s="112">
        <v>0.27014519509990575</v>
      </c>
      <c r="H17" s="112" t="str">
        <f t="shared" ref="H17:N17" si="2">IF(H4="","",IF(H4=0,"―     ",H16/H4))</f>
        <v/>
      </c>
      <c r="I17" s="112" t="str">
        <f t="shared" si="2"/>
        <v/>
      </c>
      <c r="J17" s="112" t="str">
        <f t="shared" si="2"/>
        <v/>
      </c>
      <c r="K17" s="112" t="str">
        <f t="shared" si="2"/>
        <v/>
      </c>
      <c r="L17" s="112" t="str">
        <f t="shared" si="2"/>
        <v/>
      </c>
      <c r="M17" s="112" t="str">
        <f t="shared" si="2"/>
        <v/>
      </c>
      <c r="N17" s="112" t="str">
        <f t="shared" si="2"/>
        <v/>
      </c>
      <c r="O17" s="112">
        <f>IF(O4="","",IF(O4=0,"―     ",O16/O4))</f>
        <v>0.26948747588527511</v>
      </c>
    </row>
    <row r="18" spans="1:15" ht="16.5" customHeight="1" x14ac:dyDescent="0.15">
      <c r="A18" s="257"/>
      <c r="B18" s="164" t="s">
        <v>21</v>
      </c>
      <c r="C18" s="102">
        <v>2186710</v>
      </c>
      <c r="D18" s="102">
        <v>2396361</v>
      </c>
      <c r="E18" s="102">
        <v>2786960</v>
      </c>
      <c r="F18" s="102">
        <v>2766224</v>
      </c>
      <c r="G18" s="102">
        <v>2599187</v>
      </c>
      <c r="H18" s="102"/>
      <c r="I18" s="102"/>
      <c r="J18" s="102"/>
      <c r="K18" s="102"/>
      <c r="L18" s="102"/>
      <c r="M18" s="102"/>
      <c r="N18" s="102"/>
      <c r="O18" s="103">
        <f>SUM(C18:N18)</f>
        <v>12735442</v>
      </c>
    </row>
    <row r="19" spans="1:15" ht="16.5" customHeight="1" x14ac:dyDescent="0.15">
      <c r="A19" s="247"/>
      <c r="B19" s="166" t="s">
        <v>155</v>
      </c>
      <c r="C19" s="105">
        <v>1432503</v>
      </c>
      <c r="D19" s="105">
        <v>1585713</v>
      </c>
      <c r="E19" s="105">
        <v>1824920</v>
      </c>
      <c r="F19" s="105">
        <v>1832580</v>
      </c>
      <c r="G19" s="105">
        <v>1697850</v>
      </c>
      <c r="H19" s="105"/>
      <c r="I19" s="105"/>
      <c r="J19" s="105"/>
      <c r="K19" s="105"/>
      <c r="L19" s="105"/>
      <c r="M19" s="105"/>
      <c r="N19" s="105"/>
      <c r="O19" s="105">
        <f t="shared" ref="O19:O29" si="3">SUM(C19:N19)</f>
        <v>8373566</v>
      </c>
    </row>
    <row r="20" spans="1:15" ht="16.5" customHeight="1" x14ac:dyDescent="0.15">
      <c r="A20" s="247"/>
      <c r="B20" s="166" t="s">
        <v>156</v>
      </c>
      <c r="C20" s="105">
        <v>0</v>
      </c>
      <c r="D20" s="105">
        <v>0</v>
      </c>
      <c r="E20" s="105">
        <v>0</v>
      </c>
      <c r="F20" s="105">
        <v>0</v>
      </c>
      <c r="G20" s="105">
        <v>0</v>
      </c>
      <c r="H20" s="105"/>
      <c r="I20" s="105"/>
      <c r="J20" s="105"/>
      <c r="K20" s="105"/>
      <c r="L20" s="105"/>
      <c r="M20" s="105"/>
      <c r="N20" s="105"/>
      <c r="O20" s="105">
        <f t="shared" si="3"/>
        <v>0</v>
      </c>
    </row>
    <row r="21" spans="1:15" ht="16.5" customHeight="1" x14ac:dyDescent="0.15">
      <c r="A21" s="247"/>
      <c r="B21" s="166" t="s">
        <v>26</v>
      </c>
      <c r="C21" s="105">
        <v>115560</v>
      </c>
      <c r="D21" s="105">
        <v>127000</v>
      </c>
      <c r="E21" s="105">
        <v>142820</v>
      </c>
      <c r="F21" s="105">
        <v>138560</v>
      </c>
      <c r="G21" s="105">
        <v>124160</v>
      </c>
      <c r="H21" s="105"/>
      <c r="I21" s="105"/>
      <c r="J21" s="105"/>
      <c r="K21" s="105"/>
      <c r="L21" s="105"/>
      <c r="M21" s="105"/>
      <c r="N21" s="105"/>
      <c r="O21" s="105">
        <f t="shared" si="3"/>
        <v>648100</v>
      </c>
    </row>
    <row r="22" spans="1:15" ht="16.5" customHeight="1" x14ac:dyDescent="0.15">
      <c r="A22" s="247"/>
      <c r="B22" s="166" t="s">
        <v>66</v>
      </c>
      <c r="C22" s="106">
        <v>36125</v>
      </c>
      <c r="D22" s="105">
        <v>46171</v>
      </c>
      <c r="E22" s="105">
        <v>38657</v>
      </c>
      <c r="F22" s="105">
        <v>32788</v>
      </c>
      <c r="G22" s="105">
        <v>28943</v>
      </c>
      <c r="H22" s="105"/>
      <c r="I22" s="106"/>
      <c r="J22" s="106"/>
      <c r="K22" s="106"/>
      <c r="L22" s="106"/>
      <c r="M22" s="106"/>
      <c r="N22" s="106"/>
      <c r="O22" s="105">
        <f t="shared" si="3"/>
        <v>182684</v>
      </c>
    </row>
    <row r="23" spans="1:15" ht="16.5" customHeight="1" x14ac:dyDescent="0.15">
      <c r="A23" s="247"/>
      <c r="B23" s="166" t="s">
        <v>22</v>
      </c>
      <c r="C23" s="105">
        <v>81688</v>
      </c>
      <c r="D23" s="105">
        <v>81688</v>
      </c>
      <c r="E23" s="105">
        <v>73640</v>
      </c>
      <c r="F23" s="105">
        <v>73640</v>
      </c>
      <c r="G23" s="105">
        <v>89736</v>
      </c>
      <c r="H23" s="105"/>
      <c r="I23" s="105"/>
      <c r="J23" s="105"/>
      <c r="K23" s="105"/>
      <c r="L23" s="105"/>
      <c r="M23" s="105"/>
      <c r="N23" s="105"/>
      <c r="O23" s="105">
        <f t="shared" si="3"/>
        <v>400392</v>
      </c>
    </row>
    <row r="24" spans="1:15" ht="16.5" customHeight="1" x14ac:dyDescent="0.15">
      <c r="A24" s="247"/>
      <c r="B24" s="166" t="s">
        <v>67</v>
      </c>
      <c r="C24" s="105">
        <v>9950</v>
      </c>
      <c r="D24" s="105">
        <v>9950</v>
      </c>
      <c r="E24" s="105">
        <v>8710</v>
      </c>
      <c r="F24" s="105">
        <v>8710</v>
      </c>
      <c r="G24" s="105">
        <v>9949</v>
      </c>
      <c r="H24" s="105"/>
      <c r="I24" s="105"/>
      <c r="J24" s="105"/>
      <c r="K24" s="105"/>
      <c r="L24" s="105"/>
      <c r="M24" s="105"/>
      <c r="N24" s="105"/>
      <c r="O24" s="105">
        <f t="shared" si="3"/>
        <v>47269</v>
      </c>
    </row>
    <row r="25" spans="1:15" ht="16.5" customHeight="1" x14ac:dyDescent="0.15">
      <c r="A25" s="247"/>
      <c r="B25" s="166" t="s">
        <v>23</v>
      </c>
      <c r="C25" s="105">
        <v>136140</v>
      </c>
      <c r="D25" s="105">
        <v>136140</v>
      </c>
      <c r="E25" s="105">
        <v>122727</v>
      </c>
      <c r="F25" s="105">
        <v>122727</v>
      </c>
      <c r="G25" s="105">
        <v>149552</v>
      </c>
      <c r="H25" s="105"/>
      <c r="I25" s="105"/>
      <c r="J25" s="105"/>
      <c r="K25" s="105"/>
      <c r="L25" s="105"/>
      <c r="M25" s="105"/>
      <c r="N25" s="105"/>
      <c r="O25" s="105">
        <f t="shared" si="3"/>
        <v>667286</v>
      </c>
    </row>
    <row r="26" spans="1:15" ht="16.5" customHeight="1" x14ac:dyDescent="0.15">
      <c r="A26" s="247"/>
      <c r="B26" s="166" t="s">
        <v>157</v>
      </c>
      <c r="C26" s="105">
        <v>11461</v>
      </c>
      <c r="D26" s="105">
        <v>11253</v>
      </c>
      <c r="E26" s="105">
        <v>13005</v>
      </c>
      <c r="F26" s="105">
        <v>12726</v>
      </c>
      <c r="G26" s="105">
        <v>11989</v>
      </c>
      <c r="H26" s="105"/>
      <c r="I26" s="105"/>
      <c r="J26" s="105"/>
      <c r="K26" s="105"/>
      <c r="L26" s="105"/>
      <c r="M26" s="105"/>
      <c r="N26" s="105"/>
      <c r="O26" s="105">
        <f t="shared" si="3"/>
        <v>60434</v>
      </c>
    </row>
    <row r="27" spans="1:15" ht="16.5" customHeight="1" x14ac:dyDescent="0.15">
      <c r="A27" s="247"/>
      <c r="B27" s="166" t="s">
        <v>158</v>
      </c>
      <c r="C27" s="105">
        <v>1584188</v>
      </c>
      <c r="D27" s="105">
        <v>1758884</v>
      </c>
      <c r="E27" s="105">
        <v>2006397</v>
      </c>
      <c r="F27" s="105">
        <v>2003928</v>
      </c>
      <c r="G27" s="105">
        <v>1850953</v>
      </c>
      <c r="H27" s="105"/>
      <c r="I27" s="105"/>
      <c r="J27" s="105"/>
      <c r="K27" s="105"/>
      <c r="L27" s="105"/>
      <c r="M27" s="105"/>
      <c r="N27" s="105"/>
      <c r="O27" s="105">
        <f t="shared" si="3"/>
        <v>9204350</v>
      </c>
    </row>
    <row r="28" spans="1:15" ht="16.5" customHeight="1" x14ac:dyDescent="0.15">
      <c r="A28" s="247"/>
      <c r="B28" s="171"/>
      <c r="C28" s="107"/>
      <c r="D28" s="107">
        <v>11</v>
      </c>
      <c r="E28" s="107">
        <v>12</v>
      </c>
      <c r="F28" s="107">
        <v>12</v>
      </c>
      <c r="G28" s="107">
        <v>12</v>
      </c>
      <c r="H28" s="107"/>
      <c r="I28" s="107"/>
      <c r="J28" s="107"/>
      <c r="K28" s="107"/>
      <c r="L28" s="107"/>
      <c r="M28" s="107"/>
      <c r="N28" s="107"/>
      <c r="O28" s="107"/>
    </row>
    <row r="29" spans="1:15" ht="16.5" customHeight="1" thickBot="1" x14ac:dyDescent="0.2">
      <c r="A29" s="247"/>
      <c r="B29" s="171" t="s">
        <v>171</v>
      </c>
      <c r="C29" s="107">
        <v>6</v>
      </c>
      <c r="D29" s="107">
        <v>10</v>
      </c>
      <c r="E29" s="107">
        <v>6</v>
      </c>
      <c r="F29" s="107">
        <v>8</v>
      </c>
      <c r="G29" s="107">
        <v>3</v>
      </c>
      <c r="H29" s="107"/>
      <c r="I29" s="107"/>
      <c r="J29" s="107"/>
      <c r="K29" s="107"/>
      <c r="L29" s="107"/>
      <c r="M29" s="107"/>
      <c r="N29" s="107"/>
      <c r="O29" s="168">
        <f t="shared" si="3"/>
        <v>33</v>
      </c>
    </row>
    <row r="30" spans="1:15" ht="16.5" customHeight="1" thickTop="1" x14ac:dyDescent="0.15">
      <c r="A30" s="247"/>
      <c r="B30" s="169" t="s">
        <v>159</v>
      </c>
      <c r="C30" s="110">
        <f>IF(C18="","",C18-SUM(C19:C26))</f>
        <v>363283</v>
      </c>
      <c r="D30" s="110">
        <v>398446</v>
      </c>
      <c r="E30" s="110">
        <v>562481</v>
      </c>
      <c r="F30" s="110">
        <v>544493</v>
      </c>
      <c r="G30" s="110">
        <v>487008</v>
      </c>
      <c r="H30" s="110" t="str">
        <f t="shared" ref="H30:M30" si="4">IF(H18="","",H18-SUM(H19:H26))</f>
        <v/>
      </c>
      <c r="I30" s="110" t="str">
        <f t="shared" si="4"/>
        <v/>
      </c>
      <c r="J30" s="110" t="str">
        <f t="shared" si="4"/>
        <v/>
      </c>
      <c r="K30" s="110" t="str">
        <f t="shared" si="4"/>
        <v/>
      </c>
      <c r="L30" s="110" t="str">
        <f t="shared" si="4"/>
        <v/>
      </c>
      <c r="M30" s="110" t="str">
        <f t="shared" si="4"/>
        <v/>
      </c>
      <c r="N30" s="110" t="str">
        <f>IF(N18="","",N18-SUM(N19:N26))</f>
        <v/>
      </c>
      <c r="O30" s="110">
        <f>IF(O18="","",O18-SUM(O19:O26))</f>
        <v>2355711</v>
      </c>
    </row>
    <row r="31" spans="1:15" ht="16.5" customHeight="1" thickBot="1" x14ac:dyDescent="0.2">
      <c r="A31" s="248"/>
      <c r="B31" s="170" t="s">
        <v>160</v>
      </c>
      <c r="C31" s="112">
        <f>IF(C18="","",IF(C18=0,"―     ",C30/C18))</f>
        <v>0.16613222603820352</v>
      </c>
      <c r="D31" s="112">
        <v>0.16627127548812554</v>
      </c>
      <c r="E31" s="112">
        <v>0.20182600396130551</v>
      </c>
      <c r="F31" s="112">
        <v>0.19683619258599447</v>
      </c>
      <c r="G31" s="112">
        <v>0.18736935818777178</v>
      </c>
      <c r="H31" s="112" t="str">
        <f t="shared" ref="H31:N31" si="5">IF(H18="","",IF(H18=0,"―     ",H30/H18))</f>
        <v/>
      </c>
      <c r="I31" s="112" t="str">
        <f t="shared" si="5"/>
        <v/>
      </c>
      <c r="J31" s="112" t="str">
        <f t="shared" si="5"/>
        <v/>
      </c>
      <c r="K31" s="112" t="str">
        <f t="shared" si="5"/>
        <v/>
      </c>
      <c r="L31" s="112" t="str">
        <f t="shared" si="5"/>
        <v/>
      </c>
      <c r="M31" s="112" t="str">
        <f t="shared" si="5"/>
        <v/>
      </c>
      <c r="N31" s="112" t="str">
        <f t="shared" si="5"/>
        <v/>
      </c>
      <c r="O31" s="112">
        <f>IF(O18="","",IF(O18=0,"―     ",O30/O18))</f>
        <v>0.18497284978409073</v>
      </c>
    </row>
    <row r="32" spans="1:15" ht="16.5" customHeight="1" x14ac:dyDescent="0.15">
      <c r="A32" s="257"/>
      <c r="B32" s="164" t="s">
        <v>21</v>
      </c>
      <c r="C32" s="102">
        <v>16523360</v>
      </c>
      <c r="D32" s="102">
        <v>16775949</v>
      </c>
      <c r="E32" s="102">
        <v>17495481</v>
      </c>
      <c r="F32" s="102">
        <v>17091920</v>
      </c>
      <c r="G32" s="102">
        <v>16537332</v>
      </c>
      <c r="H32" s="102"/>
      <c r="I32" s="102"/>
      <c r="J32" s="102"/>
      <c r="K32" s="102"/>
      <c r="L32" s="102"/>
      <c r="M32" s="102"/>
      <c r="N32" s="102"/>
      <c r="O32" s="103">
        <f>SUM(C32:N32)</f>
        <v>84424042</v>
      </c>
    </row>
    <row r="33" spans="1:15" ht="16.5" customHeight="1" x14ac:dyDescent="0.15">
      <c r="A33" s="247"/>
      <c r="B33" s="166" t="s">
        <v>155</v>
      </c>
      <c r="C33" s="105">
        <v>10963493</v>
      </c>
      <c r="D33" s="105">
        <v>11199643</v>
      </c>
      <c r="E33" s="105">
        <v>11617953</v>
      </c>
      <c r="F33" s="105">
        <v>11385501</v>
      </c>
      <c r="G33" s="105">
        <v>10959157</v>
      </c>
      <c r="H33" s="105"/>
      <c r="I33" s="105"/>
      <c r="J33" s="105"/>
      <c r="K33" s="105"/>
      <c r="L33" s="105"/>
      <c r="M33" s="105"/>
      <c r="N33" s="105"/>
      <c r="O33" s="105">
        <f t="shared" ref="O33:O43" si="6">SUM(C33:N33)</f>
        <v>56125747</v>
      </c>
    </row>
    <row r="34" spans="1:15" ht="16.5" customHeight="1" x14ac:dyDescent="0.15">
      <c r="A34" s="247"/>
      <c r="B34" s="166" t="s">
        <v>156</v>
      </c>
      <c r="C34" s="105">
        <v>41900</v>
      </c>
      <c r="D34" s="105">
        <v>91900</v>
      </c>
      <c r="E34" s="105">
        <v>7000</v>
      </c>
      <c r="F34" s="105">
        <v>7000</v>
      </c>
      <c r="G34" s="105">
        <v>7000</v>
      </c>
      <c r="H34" s="105"/>
      <c r="I34" s="105"/>
      <c r="J34" s="105"/>
      <c r="K34" s="105"/>
      <c r="L34" s="105"/>
      <c r="M34" s="105"/>
      <c r="N34" s="105"/>
      <c r="O34" s="105">
        <f t="shared" si="6"/>
        <v>154800</v>
      </c>
    </row>
    <row r="35" spans="1:15" ht="16.5" customHeight="1" x14ac:dyDescent="0.15">
      <c r="A35" s="247"/>
      <c r="B35" s="166" t="s">
        <v>26</v>
      </c>
      <c r="C35" s="105">
        <v>590870</v>
      </c>
      <c r="D35" s="105">
        <v>575610</v>
      </c>
      <c r="E35" s="105">
        <v>600920</v>
      </c>
      <c r="F35" s="105">
        <v>587090</v>
      </c>
      <c r="G35" s="105">
        <v>541020</v>
      </c>
      <c r="H35" s="105"/>
      <c r="I35" s="105"/>
      <c r="J35" s="105"/>
      <c r="K35" s="105"/>
      <c r="L35" s="105"/>
      <c r="M35" s="105"/>
      <c r="N35" s="105"/>
      <c r="O35" s="105">
        <f t="shared" si="6"/>
        <v>2895510</v>
      </c>
    </row>
    <row r="36" spans="1:15" ht="16.5" customHeight="1" x14ac:dyDescent="0.15">
      <c r="A36" s="247"/>
      <c r="B36" s="166" t="s">
        <v>66</v>
      </c>
      <c r="C36" s="106">
        <v>263299</v>
      </c>
      <c r="D36" s="105">
        <v>379518</v>
      </c>
      <c r="E36" s="105">
        <v>427404</v>
      </c>
      <c r="F36" s="105">
        <v>435113</v>
      </c>
      <c r="G36" s="105">
        <v>430060</v>
      </c>
      <c r="H36" s="105"/>
      <c r="I36" s="106"/>
      <c r="J36" s="106"/>
      <c r="K36" s="106"/>
      <c r="L36" s="106"/>
      <c r="M36" s="106"/>
      <c r="N36" s="106"/>
      <c r="O36" s="105">
        <f t="shared" si="6"/>
        <v>1935394</v>
      </c>
    </row>
    <row r="37" spans="1:15" ht="16.5" customHeight="1" x14ac:dyDescent="0.15">
      <c r="A37" s="247"/>
      <c r="B37" s="166" t="s">
        <v>22</v>
      </c>
      <c r="C37" s="105">
        <v>508636</v>
      </c>
      <c r="D37" s="105">
        <v>551391</v>
      </c>
      <c r="E37" s="105">
        <v>573020</v>
      </c>
      <c r="F37" s="105">
        <v>573020</v>
      </c>
      <c r="G37" s="105">
        <v>590122</v>
      </c>
      <c r="H37" s="105"/>
      <c r="I37" s="105"/>
      <c r="J37" s="105"/>
      <c r="K37" s="105"/>
      <c r="L37" s="105"/>
      <c r="M37" s="105"/>
      <c r="N37" s="105"/>
      <c r="O37" s="105">
        <f t="shared" si="6"/>
        <v>2796189</v>
      </c>
    </row>
    <row r="38" spans="1:15" ht="16.5" customHeight="1" x14ac:dyDescent="0.15">
      <c r="A38" s="247"/>
      <c r="B38" s="166" t="s">
        <v>67</v>
      </c>
      <c r="C38" s="105">
        <v>48737</v>
      </c>
      <c r="D38" s="105">
        <v>52767</v>
      </c>
      <c r="E38" s="105">
        <v>53930</v>
      </c>
      <c r="F38" s="105">
        <v>54163</v>
      </c>
      <c r="G38" s="105">
        <v>54163</v>
      </c>
      <c r="H38" s="105"/>
      <c r="I38" s="105"/>
      <c r="J38" s="105"/>
      <c r="K38" s="105"/>
      <c r="L38" s="105"/>
      <c r="M38" s="105"/>
      <c r="N38" s="105"/>
      <c r="O38" s="105">
        <f t="shared" si="6"/>
        <v>263760</v>
      </c>
    </row>
    <row r="39" spans="1:15" ht="16.5" customHeight="1" x14ac:dyDescent="0.15">
      <c r="A39" s="247"/>
      <c r="B39" s="166" t="s">
        <v>23</v>
      </c>
      <c r="C39" s="105">
        <v>847685</v>
      </c>
      <c r="D39" s="105">
        <v>918941</v>
      </c>
      <c r="E39" s="105">
        <v>954988</v>
      </c>
      <c r="F39" s="105">
        <v>954988</v>
      </c>
      <c r="G39" s="105">
        <v>983490</v>
      </c>
      <c r="H39" s="105"/>
      <c r="I39" s="105"/>
      <c r="J39" s="105"/>
      <c r="K39" s="105"/>
      <c r="L39" s="105"/>
      <c r="M39" s="105"/>
      <c r="N39" s="105"/>
      <c r="O39" s="105">
        <f t="shared" si="6"/>
        <v>4660092</v>
      </c>
    </row>
    <row r="40" spans="1:15" ht="16.5" customHeight="1" x14ac:dyDescent="0.15">
      <c r="A40" s="247"/>
      <c r="B40" s="166" t="s">
        <v>157</v>
      </c>
      <c r="C40" s="105">
        <v>91575</v>
      </c>
      <c r="D40" s="105">
        <v>100846</v>
      </c>
      <c r="E40" s="105">
        <v>103517</v>
      </c>
      <c r="F40" s="105">
        <v>101728</v>
      </c>
      <c r="G40" s="105">
        <v>98506</v>
      </c>
      <c r="H40" s="105"/>
      <c r="I40" s="105"/>
      <c r="J40" s="105"/>
      <c r="K40" s="105"/>
      <c r="L40" s="105"/>
      <c r="M40" s="105"/>
      <c r="N40" s="105"/>
      <c r="O40" s="105">
        <f t="shared" si="6"/>
        <v>496172</v>
      </c>
    </row>
    <row r="41" spans="1:15" ht="16.5" customHeight="1" x14ac:dyDescent="0.15">
      <c r="A41" s="247"/>
      <c r="B41" s="166" t="s">
        <v>158</v>
      </c>
      <c r="C41" s="105">
        <v>11859562</v>
      </c>
      <c r="D41" s="105">
        <v>12246671</v>
      </c>
      <c r="E41" s="105">
        <v>12653277</v>
      </c>
      <c r="F41" s="105">
        <v>12414704</v>
      </c>
      <c r="G41" s="105">
        <v>11937237</v>
      </c>
      <c r="H41" s="105"/>
      <c r="I41" s="105"/>
      <c r="J41" s="105"/>
      <c r="K41" s="105"/>
      <c r="L41" s="105"/>
      <c r="M41" s="105"/>
      <c r="N41" s="105"/>
      <c r="O41" s="105">
        <f t="shared" si="6"/>
        <v>61111451</v>
      </c>
    </row>
    <row r="42" spans="1:15" ht="16.5" customHeight="1" x14ac:dyDescent="0.15">
      <c r="A42" s="247"/>
      <c r="B42" s="171"/>
      <c r="C42" s="107"/>
      <c r="D42" s="107">
        <v>82</v>
      </c>
      <c r="E42" s="107">
        <v>76</v>
      </c>
      <c r="F42" s="107">
        <v>78</v>
      </c>
      <c r="G42" s="107">
        <v>76</v>
      </c>
      <c r="H42" s="107"/>
      <c r="I42" s="107"/>
      <c r="J42" s="107"/>
      <c r="K42" s="107"/>
      <c r="L42" s="107"/>
      <c r="M42" s="107"/>
      <c r="N42" s="107"/>
      <c r="O42" s="107"/>
    </row>
    <row r="43" spans="1:15" ht="16.5" customHeight="1" thickBot="1" x14ac:dyDescent="0.2">
      <c r="A43" s="247"/>
      <c r="B43" s="171" t="s">
        <v>171</v>
      </c>
      <c r="C43" s="107">
        <v>36</v>
      </c>
      <c r="D43" s="107">
        <v>61</v>
      </c>
      <c r="E43" s="107">
        <v>42</v>
      </c>
      <c r="F43" s="107">
        <v>44</v>
      </c>
      <c r="G43" s="107">
        <v>50</v>
      </c>
      <c r="H43" s="107"/>
      <c r="I43" s="107"/>
      <c r="J43" s="107"/>
      <c r="K43" s="107"/>
      <c r="L43" s="107"/>
      <c r="M43" s="107"/>
      <c r="N43" s="107"/>
      <c r="O43" s="168">
        <f t="shared" si="6"/>
        <v>233</v>
      </c>
    </row>
    <row r="44" spans="1:15" ht="16.5" customHeight="1" thickTop="1" x14ac:dyDescent="0.15">
      <c r="A44" s="247"/>
      <c r="B44" s="169" t="s">
        <v>159</v>
      </c>
      <c r="C44" s="110">
        <f>IF(C32="","",C32-SUM(C33:C40))</f>
        <v>3167165</v>
      </c>
      <c r="D44" s="110">
        <v>2905333</v>
      </c>
      <c r="E44" s="110">
        <v>3156749</v>
      </c>
      <c r="F44" s="110">
        <v>2993317</v>
      </c>
      <c r="G44" s="110">
        <v>2873814</v>
      </c>
      <c r="H44" s="110" t="str">
        <f t="shared" ref="H44:M44" si="7">IF(H32="","",H32-SUM(H33:H40))</f>
        <v/>
      </c>
      <c r="I44" s="110" t="str">
        <f t="shared" si="7"/>
        <v/>
      </c>
      <c r="J44" s="110" t="str">
        <f t="shared" si="7"/>
        <v/>
      </c>
      <c r="K44" s="110" t="str">
        <f t="shared" si="7"/>
        <v/>
      </c>
      <c r="L44" s="110" t="str">
        <f t="shared" si="7"/>
        <v/>
      </c>
      <c r="M44" s="110" t="str">
        <f t="shared" si="7"/>
        <v/>
      </c>
      <c r="N44" s="110" t="str">
        <f>IF(N32="","",N32-SUM(N33:N40))</f>
        <v/>
      </c>
      <c r="O44" s="110">
        <f>IF(O32="","",O32-SUM(O33:O40))</f>
        <v>15096378</v>
      </c>
    </row>
    <row r="45" spans="1:15" ht="16.5" customHeight="1" thickBot="1" x14ac:dyDescent="0.2">
      <c r="A45" s="248"/>
      <c r="B45" s="170" t="s">
        <v>160</v>
      </c>
      <c r="C45" s="112">
        <f>IF(C32="","",IF(C32=0,"―     ",C44/C32))</f>
        <v>0.19167802432435049</v>
      </c>
      <c r="D45" s="112">
        <v>0.17318442014815377</v>
      </c>
      <c r="E45" s="112">
        <v>0.18043224990498974</v>
      </c>
      <c r="F45" s="112">
        <v>0.17513052951336069</v>
      </c>
      <c r="G45" s="112">
        <v>0.17377736626440105</v>
      </c>
      <c r="H45" s="112" t="str">
        <f t="shared" ref="H45:N45" si="8">IF(H32="","",IF(H32=0,"―     ",H44/H32))</f>
        <v/>
      </c>
      <c r="I45" s="112" t="str">
        <f t="shared" si="8"/>
        <v/>
      </c>
      <c r="J45" s="112" t="str">
        <f t="shared" si="8"/>
        <v/>
      </c>
      <c r="K45" s="112" t="str">
        <f t="shared" si="8"/>
        <v/>
      </c>
      <c r="L45" s="112" t="str">
        <f t="shared" si="8"/>
        <v/>
      </c>
      <c r="M45" s="112" t="str">
        <f t="shared" si="8"/>
        <v/>
      </c>
      <c r="N45" s="112" t="str">
        <f t="shared" si="8"/>
        <v/>
      </c>
      <c r="O45" s="112">
        <f>IF(O32="","",IF(O32=0,"―     ",O44/O32))</f>
        <v>0.17881610075006832</v>
      </c>
    </row>
    <row r="46" spans="1:15" ht="16.5" customHeight="1" x14ac:dyDescent="0.15">
      <c r="A46" s="258"/>
      <c r="B46" s="164" t="s">
        <v>21</v>
      </c>
      <c r="C46" s="102">
        <v>1630000</v>
      </c>
      <c r="D46" s="102">
        <v>1630000</v>
      </c>
      <c r="E46" s="102">
        <v>1737500</v>
      </c>
      <c r="F46" s="102">
        <v>1737500</v>
      </c>
      <c r="G46" s="102">
        <v>1737500</v>
      </c>
      <c r="H46" s="102"/>
      <c r="I46" s="102"/>
      <c r="J46" s="102"/>
      <c r="K46" s="102"/>
      <c r="L46" s="102"/>
      <c r="M46" s="102"/>
      <c r="N46" s="102"/>
      <c r="O46" s="103">
        <f>SUM(C46:N46)</f>
        <v>8472500</v>
      </c>
    </row>
    <row r="47" spans="1:15" ht="16.5" customHeight="1" x14ac:dyDescent="0.15">
      <c r="A47" s="247"/>
      <c r="B47" s="166" t="s">
        <v>155</v>
      </c>
      <c r="C47" s="105">
        <v>1034100</v>
      </c>
      <c r="D47" s="105">
        <v>1106775</v>
      </c>
      <c r="E47" s="105">
        <v>1297093</v>
      </c>
      <c r="F47" s="105">
        <v>1200225</v>
      </c>
      <c r="G47" s="105">
        <v>1124063</v>
      </c>
      <c r="H47" s="105"/>
      <c r="I47" s="105"/>
      <c r="J47" s="105"/>
      <c r="K47" s="105"/>
      <c r="L47" s="105"/>
      <c r="M47" s="105"/>
      <c r="N47" s="105"/>
      <c r="O47" s="105">
        <f t="shared" ref="O47:O57" si="9">SUM(C47:N47)</f>
        <v>5762256</v>
      </c>
    </row>
    <row r="48" spans="1:15" ht="16.5" customHeight="1" x14ac:dyDescent="0.15">
      <c r="A48" s="247"/>
      <c r="B48" s="166" t="s">
        <v>156</v>
      </c>
      <c r="C48" s="105">
        <v>0</v>
      </c>
      <c r="D48" s="105">
        <v>0</v>
      </c>
      <c r="E48" s="105">
        <v>3000</v>
      </c>
      <c r="F48" s="105">
        <v>3000</v>
      </c>
      <c r="G48" s="105">
        <v>3000</v>
      </c>
      <c r="H48" s="105"/>
      <c r="I48" s="105"/>
      <c r="J48" s="105"/>
      <c r="K48" s="105"/>
      <c r="L48" s="105"/>
      <c r="M48" s="105"/>
      <c r="N48" s="105"/>
      <c r="O48" s="105">
        <f t="shared" si="9"/>
        <v>9000</v>
      </c>
    </row>
    <row r="49" spans="1:15" ht="16.5" customHeight="1" x14ac:dyDescent="0.15">
      <c r="A49" s="247"/>
      <c r="B49" s="166" t="s">
        <v>26</v>
      </c>
      <c r="C49" s="105">
        <v>60640</v>
      </c>
      <c r="D49" s="105">
        <v>57054</v>
      </c>
      <c r="E49" s="105">
        <v>55920</v>
      </c>
      <c r="F49" s="105">
        <v>58686</v>
      </c>
      <c r="G49" s="105">
        <v>58714</v>
      </c>
      <c r="H49" s="105"/>
      <c r="I49" s="105"/>
      <c r="J49" s="105"/>
      <c r="K49" s="105"/>
      <c r="L49" s="105"/>
      <c r="M49" s="105"/>
      <c r="N49" s="105"/>
      <c r="O49" s="105">
        <f t="shared" si="9"/>
        <v>291014</v>
      </c>
    </row>
    <row r="50" spans="1:15" ht="16.5" customHeight="1" x14ac:dyDescent="0.15">
      <c r="A50" s="247"/>
      <c r="B50" s="166" t="s">
        <v>66</v>
      </c>
      <c r="C50" s="106">
        <v>88598</v>
      </c>
      <c r="D50" s="105">
        <v>77346</v>
      </c>
      <c r="E50" s="105">
        <v>38565</v>
      </c>
      <c r="F50" s="105">
        <v>43023</v>
      </c>
      <c r="G50" s="105">
        <v>57128</v>
      </c>
      <c r="H50" s="105"/>
      <c r="I50" s="106"/>
      <c r="J50" s="106"/>
      <c r="K50" s="106"/>
      <c r="L50" s="106"/>
      <c r="M50" s="106"/>
      <c r="N50" s="106"/>
      <c r="O50" s="105">
        <f t="shared" si="9"/>
        <v>304660</v>
      </c>
    </row>
    <row r="51" spans="1:15" ht="16.5" customHeight="1" x14ac:dyDescent="0.15">
      <c r="A51" s="247"/>
      <c r="B51" s="166" t="s">
        <v>22</v>
      </c>
      <c r="C51" s="105">
        <v>32192</v>
      </c>
      <c r="D51" s="105">
        <v>32192</v>
      </c>
      <c r="E51" s="105">
        <v>32192</v>
      </c>
      <c r="F51" s="105">
        <v>32192</v>
      </c>
      <c r="G51" s="105">
        <v>40240</v>
      </c>
      <c r="H51" s="105"/>
      <c r="I51" s="105"/>
      <c r="J51" s="105"/>
      <c r="K51" s="105"/>
      <c r="L51" s="105"/>
      <c r="M51" s="105"/>
      <c r="N51" s="105"/>
      <c r="O51" s="105">
        <f t="shared" si="9"/>
        <v>169008</v>
      </c>
    </row>
    <row r="52" spans="1:15" ht="16.5" customHeight="1" x14ac:dyDescent="0.15">
      <c r="A52" s="247"/>
      <c r="B52" s="166" t="s">
        <v>67</v>
      </c>
      <c r="C52" s="105">
        <v>2557</v>
      </c>
      <c r="D52" s="105">
        <v>2557</v>
      </c>
      <c r="E52" s="105">
        <v>2557</v>
      </c>
      <c r="F52" s="105">
        <v>2557</v>
      </c>
      <c r="G52" s="105">
        <v>2557</v>
      </c>
      <c r="H52" s="105"/>
      <c r="I52" s="105"/>
      <c r="J52" s="105"/>
      <c r="K52" s="105"/>
      <c r="L52" s="105"/>
      <c r="M52" s="105"/>
      <c r="N52" s="105"/>
      <c r="O52" s="105">
        <f t="shared" si="9"/>
        <v>12785</v>
      </c>
    </row>
    <row r="53" spans="1:15" ht="16.5" customHeight="1" x14ac:dyDescent="0.15">
      <c r="A53" s="247"/>
      <c r="B53" s="166" t="s">
        <v>23</v>
      </c>
      <c r="C53" s="105">
        <v>53651</v>
      </c>
      <c r="D53" s="105">
        <v>53651</v>
      </c>
      <c r="E53" s="105">
        <v>53651</v>
      </c>
      <c r="F53" s="105">
        <v>53651</v>
      </c>
      <c r="G53" s="105">
        <v>67064</v>
      </c>
      <c r="H53" s="105"/>
      <c r="I53" s="105"/>
      <c r="J53" s="105"/>
      <c r="K53" s="105"/>
      <c r="L53" s="105"/>
      <c r="M53" s="105"/>
      <c r="N53" s="105"/>
      <c r="O53" s="105">
        <f t="shared" si="9"/>
        <v>281668</v>
      </c>
    </row>
    <row r="54" spans="1:15" ht="16.5" customHeight="1" x14ac:dyDescent="0.15">
      <c r="A54" s="247"/>
      <c r="B54" s="166" t="s">
        <v>157</v>
      </c>
      <c r="C54" s="105">
        <v>8284</v>
      </c>
      <c r="D54" s="105">
        <v>9451</v>
      </c>
      <c r="E54" s="105">
        <v>10934</v>
      </c>
      <c r="F54" s="105">
        <v>9628</v>
      </c>
      <c r="G54" s="105">
        <v>9356</v>
      </c>
      <c r="H54" s="105"/>
      <c r="I54" s="105"/>
      <c r="J54" s="105"/>
      <c r="K54" s="105"/>
      <c r="L54" s="105"/>
      <c r="M54" s="105"/>
      <c r="N54" s="105"/>
      <c r="O54" s="105">
        <f t="shared" si="9"/>
        <v>47653</v>
      </c>
    </row>
    <row r="55" spans="1:15" ht="16.5" customHeight="1" x14ac:dyDescent="0.15">
      <c r="A55" s="247"/>
      <c r="B55" s="166" t="s">
        <v>158</v>
      </c>
      <c r="C55" s="105">
        <v>1183338</v>
      </c>
      <c r="D55" s="105">
        <v>1241175</v>
      </c>
      <c r="E55" s="105">
        <v>1394578</v>
      </c>
      <c r="F55" s="105">
        <v>1304934</v>
      </c>
      <c r="G55" s="105">
        <v>1242905</v>
      </c>
      <c r="H55" s="105"/>
      <c r="I55" s="105"/>
      <c r="J55" s="105"/>
      <c r="K55" s="105"/>
      <c r="L55" s="105"/>
      <c r="M55" s="105"/>
      <c r="N55" s="105"/>
      <c r="O55" s="105">
        <f t="shared" si="9"/>
        <v>6366930</v>
      </c>
    </row>
    <row r="56" spans="1:15" ht="16.5" customHeight="1" x14ac:dyDescent="0.15">
      <c r="A56" s="247"/>
      <c r="B56" s="171"/>
      <c r="C56" s="107"/>
      <c r="D56" s="107">
        <v>12</v>
      </c>
      <c r="E56" s="107">
        <v>13</v>
      </c>
      <c r="F56" s="107">
        <v>12</v>
      </c>
      <c r="G56" s="107">
        <v>12</v>
      </c>
      <c r="H56" s="107"/>
      <c r="I56" s="107"/>
      <c r="J56" s="107"/>
      <c r="K56" s="107"/>
      <c r="L56" s="107"/>
      <c r="M56" s="107"/>
      <c r="N56" s="107"/>
      <c r="O56" s="107"/>
    </row>
    <row r="57" spans="1:15" ht="16.5" customHeight="1" thickBot="1" x14ac:dyDescent="0.2">
      <c r="A57" s="247"/>
      <c r="B57" s="171" t="s">
        <v>171</v>
      </c>
      <c r="C57" s="107">
        <v>2</v>
      </c>
      <c r="D57" s="107">
        <v>6</v>
      </c>
      <c r="E57" s="107">
        <v>5</v>
      </c>
      <c r="F57" s="107">
        <v>3</v>
      </c>
      <c r="G57" s="107">
        <v>3</v>
      </c>
      <c r="H57" s="107"/>
      <c r="I57" s="107"/>
      <c r="J57" s="107"/>
      <c r="K57" s="107"/>
      <c r="L57" s="107"/>
      <c r="M57" s="107"/>
      <c r="N57" s="107"/>
      <c r="O57" s="168">
        <f t="shared" si="9"/>
        <v>19</v>
      </c>
    </row>
    <row r="58" spans="1:15" ht="16.5" customHeight="1" thickTop="1" x14ac:dyDescent="0.15">
      <c r="A58" s="247"/>
      <c r="B58" s="169" t="s">
        <v>159</v>
      </c>
      <c r="C58" s="110">
        <f>IF(C46="","",C46-SUM(C47:C54))</f>
        <v>349978</v>
      </c>
      <c r="D58" s="110">
        <v>290974</v>
      </c>
      <c r="E58" s="110">
        <v>243588</v>
      </c>
      <c r="F58" s="110">
        <v>334538</v>
      </c>
      <c r="G58" s="110">
        <v>375378</v>
      </c>
      <c r="H58" s="110" t="str">
        <f t="shared" ref="H58:M58" si="10">IF(H46="","",H46-SUM(H47:H54))</f>
        <v/>
      </c>
      <c r="I58" s="110" t="str">
        <f t="shared" si="10"/>
        <v/>
      </c>
      <c r="J58" s="110" t="str">
        <f t="shared" si="10"/>
        <v/>
      </c>
      <c r="K58" s="110" t="str">
        <f t="shared" si="10"/>
        <v/>
      </c>
      <c r="L58" s="110" t="str">
        <f t="shared" si="10"/>
        <v/>
      </c>
      <c r="M58" s="110" t="str">
        <f t="shared" si="10"/>
        <v/>
      </c>
      <c r="N58" s="110" t="str">
        <f>IF(N46="","",N46-SUM(N47:N54))</f>
        <v/>
      </c>
      <c r="O58" s="110">
        <f>IF(O46="","",O46-SUM(O47:O54))</f>
        <v>1594456</v>
      </c>
    </row>
    <row r="59" spans="1:15" ht="16.5" customHeight="1" thickBot="1" x14ac:dyDescent="0.2">
      <c r="A59" s="248"/>
      <c r="B59" s="170" t="s">
        <v>160</v>
      </c>
      <c r="C59" s="112">
        <f>IF(C46="","",IF(C46=0,"―     ",C58/C46))</f>
        <v>0.21471042944785276</v>
      </c>
      <c r="D59" s="112">
        <v>0.17851165644171779</v>
      </c>
      <c r="E59" s="112">
        <v>0.14019453237410073</v>
      </c>
      <c r="F59" s="112">
        <v>0.1925398561151079</v>
      </c>
      <c r="G59" s="112">
        <v>0.21604489208633093</v>
      </c>
      <c r="H59" s="112" t="str">
        <f t="shared" ref="H59:N59" si="11">IF(H46="","",IF(H46=0,"―     ",H58/H46))</f>
        <v/>
      </c>
      <c r="I59" s="112" t="str">
        <f t="shared" si="11"/>
        <v/>
      </c>
      <c r="J59" s="112" t="str">
        <f t="shared" si="11"/>
        <v/>
      </c>
      <c r="K59" s="112" t="str">
        <f t="shared" si="11"/>
        <v/>
      </c>
      <c r="L59" s="112" t="str">
        <f t="shared" si="11"/>
        <v/>
      </c>
      <c r="M59" s="112" t="str">
        <f t="shared" si="11"/>
        <v/>
      </c>
      <c r="N59" s="112" t="str">
        <f t="shared" si="11"/>
        <v/>
      </c>
      <c r="O59" s="112">
        <f>IF(O46="","",IF(O46=0,"―     ",O58/O46))</f>
        <v>0.1881919150191797</v>
      </c>
    </row>
    <row r="60" spans="1:15" ht="16.5" customHeight="1" x14ac:dyDescent="0.15">
      <c r="A60" s="257"/>
      <c r="B60" s="164" t="s">
        <v>21</v>
      </c>
      <c r="C60" s="102">
        <v>7741656</v>
      </c>
      <c r="D60" s="102">
        <v>7537595</v>
      </c>
      <c r="E60" s="102">
        <v>4752034</v>
      </c>
      <c r="F60" s="102">
        <v>5637191</v>
      </c>
      <c r="G60" s="102">
        <v>5003118</v>
      </c>
      <c r="H60" s="102"/>
      <c r="I60" s="102"/>
      <c r="J60" s="102"/>
      <c r="K60" s="102"/>
      <c r="L60" s="102"/>
      <c r="M60" s="102"/>
      <c r="N60" s="102"/>
      <c r="O60" s="103">
        <f>SUM(C60:N60)</f>
        <v>30671594</v>
      </c>
    </row>
    <row r="61" spans="1:15" ht="16.5" customHeight="1" x14ac:dyDescent="0.15">
      <c r="A61" s="247"/>
      <c r="B61" s="166" t="s">
        <v>155</v>
      </c>
      <c r="C61" s="105">
        <v>4411425</v>
      </c>
      <c r="D61" s="105">
        <v>4551300</v>
      </c>
      <c r="E61" s="105">
        <v>2992050</v>
      </c>
      <c r="F61" s="105">
        <v>3039125</v>
      </c>
      <c r="G61" s="105">
        <v>2940938</v>
      </c>
      <c r="H61" s="105"/>
      <c r="I61" s="105"/>
      <c r="J61" s="105"/>
      <c r="K61" s="105"/>
      <c r="L61" s="105"/>
      <c r="M61" s="105"/>
      <c r="N61" s="105"/>
      <c r="O61" s="105">
        <f t="shared" ref="O61:O71" si="12">SUM(C61:N61)</f>
        <v>17934838</v>
      </c>
    </row>
    <row r="62" spans="1:15" ht="16.5" customHeight="1" x14ac:dyDescent="0.15">
      <c r="A62" s="247"/>
      <c r="B62" s="166" t="s">
        <v>156</v>
      </c>
      <c r="C62" s="105">
        <v>0</v>
      </c>
      <c r="D62" s="105">
        <v>0</v>
      </c>
      <c r="E62" s="105">
        <v>0</v>
      </c>
      <c r="F62" s="105">
        <v>0</v>
      </c>
      <c r="G62" s="105">
        <v>0</v>
      </c>
      <c r="H62" s="105"/>
      <c r="I62" s="105"/>
      <c r="J62" s="105"/>
      <c r="K62" s="105"/>
      <c r="L62" s="105"/>
      <c r="M62" s="105"/>
      <c r="N62" s="105"/>
      <c r="O62" s="105">
        <f t="shared" si="12"/>
        <v>0</v>
      </c>
    </row>
    <row r="63" spans="1:15" ht="16.5" customHeight="1" x14ac:dyDescent="0.15">
      <c r="A63" s="247"/>
      <c r="B63" s="166" t="s">
        <v>26</v>
      </c>
      <c r="C63" s="105">
        <v>342540</v>
      </c>
      <c r="D63" s="105">
        <v>306320</v>
      </c>
      <c r="E63" s="105">
        <v>196930</v>
      </c>
      <c r="F63" s="105">
        <v>194220</v>
      </c>
      <c r="G63" s="105">
        <v>189490</v>
      </c>
      <c r="H63" s="105"/>
      <c r="I63" s="105"/>
      <c r="J63" s="105"/>
      <c r="K63" s="105"/>
      <c r="L63" s="105"/>
      <c r="M63" s="105"/>
      <c r="N63" s="105"/>
      <c r="O63" s="105">
        <f t="shared" si="12"/>
        <v>1229500</v>
      </c>
    </row>
    <row r="64" spans="1:15" ht="16.5" customHeight="1" x14ac:dyDescent="0.15">
      <c r="A64" s="247"/>
      <c r="B64" s="166" t="s">
        <v>66</v>
      </c>
      <c r="C64" s="106">
        <v>741554</v>
      </c>
      <c r="D64" s="105">
        <v>648720</v>
      </c>
      <c r="E64" s="105">
        <v>144476</v>
      </c>
      <c r="F64" s="105">
        <v>166072</v>
      </c>
      <c r="G64" s="105">
        <v>137787</v>
      </c>
      <c r="H64" s="105"/>
      <c r="I64" s="106"/>
      <c r="J64" s="106"/>
      <c r="K64" s="106"/>
      <c r="L64" s="106"/>
      <c r="M64" s="106"/>
      <c r="N64" s="106"/>
      <c r="O64" s="105">
        <f t="shared" si="12"/>
        <v>1838609</v>
      </c>
    </row>
    <row r="65" spans="1:15" ht="16.5" customHeight="1" x14ac:dyDescent="0.15">
      <c r="A65" s="247"/>
      <c r="B65" s="166" t="s">
        <v>22</v>
      </c>
      <c r="C65" s="105">
        <v>278260</v>
      </c>
      <c r="D65" s="105">
        <v>269709</v>
      </c>
      <c r="E65" s="105">
        <v>135408</v>
      </c>
      <c r="F65" s="105">
        <v>142953</v>
      </c>
      <c r="G65" s="105">
        <v>143456</v>
      </c>
      <c r="H65" s="105"/>
      <c r="I65" s="105"/>
      <c r="J65" s="105"/>
      <c r="K65" s="105"/>
      <c r="L65" s="105"/>
      <c r="M65" s="105"/>
      <c r="N65" s="105"/>
      <c r="O65" s="105">
        <f t="shared" si="12"/>
        <v>969786</v>
      </c>
    </row>
    <row r="66" spans="1:15" ht="16.5" customHeight="1" x14ac:dyDescent="0.15">
      <c r="A66" s="247"/>
      <c r="B66" s="166" t="s">
        <v>67</v>
      </c>
      <c r="C66" s="105">
        <v>25865</v>
      </c>
      <c r="D66" s="105">
        <v>24548</v>
      </c>
      <c r="E66" s="105">
        <v>11143</v>
      </c>
      <c r="F66" s="105">
        <v>11143</v>
      </c>
      <c r="G66" s="105">
        <v>9981</v>
      </c>
      <c r="H66" s="105"/>
      <c r="I66" s="105"/>
      <c r="J66" s="105"/>
      <c r="K66" s="105"/>
      <c r="L66" s="105"/>
      <c r="M66" s="105"/>
      <c r="N66" s="105"/>
      <c r="O66" s="105">
        <f t="shared" si="12"/>
        <v>82680</v>
      </c>
    </row>
    <row r="67" spans="1:15" ht="16.5" customHeight="1" x14ac:dyDescent="0.15">
      <c r="A67" s="247"/>
      <c r="B67" s="166" t="s">
        <v>23</v>
      </c>
      <c r="C67" s="105">
        <v>463745</v>
      </c>
      <c r="D67" s="105">
        <v>449494</v>
      </c>
      <c r="E67" s="105">
        <v>225352</v>
      </c>
      <c r="F67" s="105">
        <v>237926</v>
      </c>
      <c r="G67" s="105">
        <v>238765</v>
      </c>
      <c r="H67" s="105"/>
      <c r="I67" s="105"/>
      <c r="J67" s="105"/>
      <c r="K67" s="105"/>
      <c r="L67" s="105"/>
      <c r="M67" s="105"/>
      <c r="N67" s="105"/>
      <c r="O67" s="105">
        <f t="shared" si="12"/>
        <v>1615282</v>
      </c>
    </row>
    <row r="68" spans="1:15" ht="16.5" customHeight="1" x14ac:dyDescent="0.15">
      <c r="A68" s="247"/>
      <c r="B68" s="166" t="s">
        <v>157</v>
      </c>
      <c r="C68" s="105">
        <v>43505</v>
      </c>
      <c r="D68" s="105">
        <v>46800</v>
      </c>
      <c r="E68" s="105">
        <v>28063</v>
      </c>
      <c r="F68" s="105">
        <v>28895</v>
      </c>
      <c r="G68" s="105">
        <v>27780</v>
      </c>
      <c r="H68" s="105"/>
      <c r="I68" s="105"/>
      <c r="J68" s="105"/>
      <c r="K68" s="105"/>
      <c r="L68" s="105"/>
      <c r="M68" s="105"/>
      <c r="N68" s="105"/>
      <c r="O68" s="105">
        <f t="shared" si="12"/>
        <v>175043</v>
      </c>
    </row>
    <row r="69" spans="1:15" ht="16.5" customHeight="1" x14ac:dyDescent="0.15">
      <c r="A69" s="247"/>
      <c r="B69" s="166" t="s">
        <v>158</v>
      </c>
      <c r="C69" s="105">
        <v>5495519</v>
      </c>
      <c r="D69" s="105">
        <v>5506340</v>
      </c>
      <c r="E69" s="105">
        <v>3333456</v>
      </c>
      <c r="F69" s="105">
        <v>3399417</v>
      </c>
      <c r="G69" s="105">
        <v>3268215</v>
      </c>
      <c r="H69" s="105"/>
      <c r="I69" s="105"/>
      <c r="J69" s="105"/>
      <c r="K69" s="105"/>
      <c r="L69" s="105"/>
      <c r="M69" s="105"/>
      <c r="N69" s="105"/>
      <c r="O69" s="105">
        <f t="shared" si="12"/>
        <v>21002947</v>
      </c>
    </row>
    <row r="70" spans="1:15" ht="16.5" customHeight="1" x14ac:dyDescent="0.15">
      <c r="A70" s="247"/>
      <c r="B70" s="171"/>
      <c r="C70" s="107"/>
      <c r="D70" s="107">
        <v>40</v>
      </c>
      <c r="E70" s="107">
        <v>21</v>
      </c>
      <c r="F70" s="107">
        <v>22</v>
      </c>
      <c r="G70" s="107">
        <v>21</v>
      </c>
      <c r="H70" s="107"/>
      <c r="I70" s="107"/>
      <c r="J70" s="107"/>
      <c r="K70" s="107"/>
      <c r="L70" s="107"/>
      <c r="M70" s="107"/>
      <c r="N70" s="107"/>
      <c r="O70" s="107"/>
    </row>
    <row r="71" spans="1:15" ht="16.5" customHeight="1" thickBot="1" x14ac:dyDescent="0.2">
      <c r="A71" s="247"/>
      <c r="B71" s="171" t="s">
        <v>171</v>
      </c>
      <c r="C71" s="107">
        <v>18</v>
      </c>
      <c r="D71" s="107">
        <v>48</v>
      </c>
      <c r="E71" s="107">
        <v>11</v>
      </c>
      <c r="F71" s="107">
        <v>10</v>
      </c>
      <c r="G71" s="107">
        <v>14</v>
      </c>
      <c r="H71" s="107"/>
      <c r="I71" s="107"/>
      <c r="J71" s="107"/>
      <c r="K71" s="107"/>
      <c r="L71" s="107"/>
      <c r="M71" s="107"/>
      <c r="N71" s="107"/>
      <c r="O71" s="168">
        <f t="shared" si="12"/>
        <v>101</v>
      </c>
    </row>
    <row r="72" spans="1:15" ht="16.5" customHeight="1" thickTop="1" x14ac:dyDescent="0.15">
      <c r="A72" s="247"/>
      <c r="B72" s="169" t="s">
        <v>159</v>
      </c>
      <c r="C72" s="110">
        <f>IF(C60="","",C60-SUM(C61:C68))</f>
        <v>1434762</v>
      </c>
      <c r="D72" s="110">
        <v>1240704</v>
      </c>
      <c r="E72" s="110">
        <v>1018612</v>
      </c>
      <c r="F72" s="110">
        <v>1816857</v>
      </c>
      <c r="G72" s="110">
        <v>1314921</v>
      </c>
      <c r="H72" s="110" t="str">
        <f t="shared" ref="H72:M72" si="13">IF(H60="","",H60-SUM(H61:H68))</f>
        <v/>
      </c>
      <c r="I72" s="110" t="str">
        <f t="shared" si="13"/>
        <v/>
      </c>
      <c r="J72" s="110" t="str">
        <f t="shared" si="13"/>
        <v/>
      </c>
      <c r="K72" s="110" t="str">
        <f t="shared" si="13"/>
        <v/>
      </c>
      <c r="L72" s="110" t="str">
        <f t="shared" si="13"/>
        <v/>
      </c>
      <c r="M72" s="110" t="str">
        <f t="shared" si="13"/>
        <v/>
      </c>
      <c r="N72" s="110" t="str">
        <f>IF(N60="","",N60-SUM(N61:N68))</f>
        <v/>
      </c>
      <c r="O72" s="110">
        <f>IF(O60="","",O60-SUM(O61:O68))</f>
        <v>6825856</v>
      </c>
    </row>
    <row r="73" spans="1:15" ht="16.5" customHeight="1" thickBot="1" x14ac:dyDescent="0.2">
      <c r="A73" s="248"/>
      <c r="B73" s="170" t="s">
        <v>160</v>
      </c>
      <c r="C73" s="112">
        <f>IF(C60="","",IF(C60=0,"―     ",C72/C60))</f>
        <v>0.18533011541716657</v>
      </c>
      <c r="D73" s="112">
        <v>0.16460210451742233</v>
      </c>
      <c r="E73" s="112">
        <v>0.21435284343504277</v>
      </c>
      <c r="F73" s="112">
        <v>0.32229828650475034</v>
      </c>
      <c r="G73" s="112">
        <v>0.26282030525764133</v>
      </c>
      <c r="H73" s="112" t="str">
        <f t="shared" ref="H73:N73" si="14">IF(H60="","",IF(H60=0,"―     ",H72/H60))</f>
        <v/>
      </c>
      <c r="I73" s="112" t="str">
        <f t="shared" si="14"/>
        <v/>
      </c>
      <c r="J73" s="112" t="str">
        <f t="shared" si="14"/>
        <v/>
      </c>
      <c r="K73" s="112" t="str">
        <f t="shared" si="14"/>
        <v/>
      </c>
      <c r="L73" s="112" t="str">
        <f t="shared" si="14"/>
        <v/>
      </c>
      <c r="M73" s="112" t="str">
        <f t="shared" si="14"/>
        <v/>
      </c>
      <c r="N73" s="112" t="str">
        <f t="shared" si="14"/>
        <v/>
      </c>
      <c r="O73" s="112">
        <f>IF(O60="","",IF(O60=0,"―     ",O72/O60))</f>
        <v>0.22254650345202143</v>
      </c>
    </row>
    <row r="74" spans="1:15" ht="16.5" customHeight="1" x14ac:dyDescent="0.15">
      <c r="A74" s="257"/>
      <c r="B74" s="164" t="s">
        <v>21</v>
      </c>
      <c r="C74" s="102">
        <v>5562573</v>
      </c>
      <c r="D74" s="102">
        <v>5737705</v>
      </c>
      <c r="E74" s="102">
        <v>5600156</v>
      </c>
      <c r="F74" s="102">
        <v>5804902</v>
      </c>
      <c r="G74" s="102">
        <v>5584414</v>
      </c>
      <c r="H74" s="102"/>
      <c r="I74" s="102"/>
      <c r="J74" s="102"/>
      <c r="K74" s="102"/>
      <c r="L74" s="102"/>
      <c r="M74" s="102"/>
      <c r="N74" s="102"/>
      <c r="O74" s="103">
        <f>SUM(C74:N74)</f>
        <v>28289750</v>
      </c>
    </row>
    <row r="75" spans="1:15" ht="16.5" customHeight="1" x14ac:dyDescent="0.15">
      <c r="A75" s="247"/>
      <c r="B75" s="166" t="s">
        <v>155</v>
      </c>
      <c r="C75" s="105">
        <v>3559778</v>
      </c>
      <c r="D75" s="105">
        <v>3675256</v>
      </c>
      <c r="E75" s="105">
        <v>3641864</v>
      </c>
      <c r="F75" s="105">
        <v>3780870</v>
      </c>
      <c r="G75" s="105">
        <v>3561812</v>
      </c>
      <c r="H75" s="105"/>
      <c r="I75" s="105"/>
      <c r="J75" s="105"/>
      <c r="K75" s="105"/>
      <c r="L75" s="105"/>
      <c r="M75" s="105"/>
      <c r="N75" s="105"/>
      <c r="O75" s="105">
        <f t="shared" ref="O75:O85" si="15">SUM(C75:N75)</f>
        <v>18219580</v>
      </c>
    </row>
    <row r="76" spans="1:15" ht="16.5" customHeight="1" x14ac:dyDescent="0.15">
      <c r="A76" s="247"/>
      <c r="B76" s="166" t="s">
        <v>156</v>
      </c>
      <c r="C76" s="105">
        <v>1500</v>
      </c>
      <c r="D76" s="105">
        <v>1500</v>
      </c>
      <c r="E76" s="105">
        <v>1500</v>
      </c>
      <c r="F76" s="105">
        <v>1500</v>
      </c>
      <c r="G76" s="105">
        <v>1500</v>
      </c>
      <c r="H76" s="105"/>
      <c r="I76" s="105"/>
      <c r="J76" s="105"/>
      <c r="K76" s="105"/>
      <c r="L76" s="105"/>
      <c r="M76" s="105"/>
      <c r="N76" s="105"/>
      <c r="O76" s="105">
        <f t="shared" si="15"/>
        <v>7500</v>
      </c>
    </row>
    <row r="77" spans="1:15" ht="16.5" customHeight="1" x14ac:dyDescent="0.15">
      <c r="A77" s="247"/>
      <c r="B77" s="166" t="s">
        <v>26</v>
      </c>
      <c r="C77" s="105">
        <v>340540</v>
      </c>
      <c r="D77" s="105">
        <v>358400</v>
      </c>
      <c r="E77" s="105">
        <v>342040</v>
      </c>
      <c r="F77" s="105">
        <v>359980</v>
      </c>
      <c r="G77" s="105">
        <v>357480</v>
      </c>
      <c r="H77" s="105"/>
      <c r="I77" s="105"/>
      <c r="J77" s="105"/>
      <c r="K77" s="105"/>
      <c r="L77" s="105"/>
      <c r="M77" s="105"/>
      <c r="N77" s="105"/>
      <c r="O77" s="105">
        <f t="shared" si="15"/>
        <v>1758440</v>
      </c>
    </row>
    <row r="78" spans="1:15" ht="16.5" customHeight="1" x14ac:dyDescent="0.15">
      <c r="A78" s="247"/>
      <c r="B78" s="166" t="s">
        <v>66</v>
      </c>
      <c r="C78" s="106">
        <v>94841</v>
      </c>
      <c r="D78" s="105">
        <v>164578</v>
      </c>
      <c r="E78" s="105">
        <v>150681</v>
      </c>
      <c r="F78" s="105">
        <v>160365</v>
      </c>
      <c r="G78" s="105">
        <v>131384</v>
      </c>
      <c r="H78" s="105"/>
      <c r="I78" s="106"/>
      <c r="J78" s="106"/>
      <c r="K78" s="106"/>
      <c r="L78" s="106"/>
      <c r="M78" s="106"/>
      <c r="N78" s="106"/>
      <c r="O78" s="105">
        <f t="shared" si="15"/>
        <v>701849</v>
      </c>
    </row>
    <row r="79" spans="1:15" ht="16.5" customHeight="1" x14ac:dyDescent="0.15">
      <c r="A79" s="247"/>
      <c r="B79" s="166" t="s">
        <v>22</v>
      </c>
      <c r="C79" s="105">
        <v>199892</v>
      </c>
      <c r="D79" s="105">
        <v>199892</v>
      </c>
      <c r="E79" s="105">
        <v>191341</v>
      </c>
      <c r="F79" s="105">
        <v>191341</v>
      </c>
      <c r="G79" s="105">
        <v>175748</v>
      </c>
      <c r="H79" s="105"/>
      <c r="I79" s="105"/>
      <c r="J79" s="105"/>
      <c r="K79" s="105"/>
      <c r="L79" s="105"/>
      <c r="M79" s="105"/>
      <c r="N79" s="105"/>
      <c r="O79" s="105">
        <f t="shared" si="15"/>
        <v>958214</v>
      </c>
    </row>
    <row r="80" spans="1:15" ht="16.5" customHeight="1" x14ac:dyDescent="0.15">
      <c r="A80" s="247"/>
      <c r="B80" s="166" t="s">
        <v>67</v>
      </c>
      <c r="C80" s="105">
        <v>6354</v>
      </c>
      <c r="D80" s="105">
        <v>6354</v>
      </c>
      <c r="E80" s="105">
        <v>6354</v>
      </c>
      <c r="F80" s="105">
        <v>6354</v>
      </c>
      <c r="G80" s="105">
        <v>6354</v>
      </c>
      <c r="H80" s="105"/>
      <c r="I80" s="105"/>
      <c r="J80" s="105"/>
      <c r="K80" s="105"/>
      <c r="L80" s="105"/>
      <c r="M80" s="105"/>
      <c r="N80" s="105"/>
      <c r="O80" s="105">
        <f t="shared" si="15"/>
        <v>31770</v>
      </c>
    </row>
    <row r="81" spans="1:15" ht="16.5" customHeight="1" x14ac:dyDescent="0.15">
      <c r="A81" s="247"/>
      <c r="B81" s="166" t="s">
        <v>23</v>
      </c>
      <c r="C81" s="105">
        <v>333137</v>
      </c>
      <c r="D81" s="105">
        <v>333137</v>
      </c>
      <c r="E81" s="105">
        <v>318886</v>
      </c>
      <c r="F81" s="105">
        <v>318886</v>
      </c>
      <c r="G81" s="105">
        <v>292899</v>
      </c>
      <c r="H81" s="105"/>
      <c r="I81" s="105"/>
      <c r="J81" s="105"/>
      <c r="K81" s="105"/>
      <c r="L81" s="105"/>
      <c r="M81" s="105"/>
      <c r="N81" s="105"/>
      <c r="O81" s="105">
        <f t="shared" si="15"/>
        <v>1596945</v>
      </c>
    </row>
    <row r="82" spans="1:15" ht="16.5" customHeight="1" x14ac:dyDescent="0.15">
      <c r="A82" s="247"/>
      <c r="B82" s="166" t="s">
        <v>157</v>
      </c>
      <c r="C82" s="105">
        <v>30356</v>
      </c>
      <c r="D82" s="105">
        <v>34207</v>
      </c>
      <c r="E82" s="105">
        <v>33691</v>
      </c>
      <c r="F82" s="105">
        <v>34982</v>
      </c>
      <c r="G82" s="105">
        <v>33100</v>
      </c>
      <c r="H82" s="105"/>
      <c r="I82" s="105"/>
      <c r="J82" s="105"/>
      <c r="K82" s="105"/>
      <c r="L82" s="105"/>
      <c r="M82" s="105"/>
      <c r="N82" s="105"/>
      <c r="O82" s="105">
        <f t="shared" si="15"/>
        <v>166336</v>
      </c>
    </row>
    <row r="83" spans="1:15" ht="16.5" customHeight="1" x14ac:dyDescent="0.15">
      <c r="A83" s="247"/>
      <c r="B83" s="166" t="s">
        <v>158</v>
      </c>
      <c r="C83" s="105">
        <v>3996659</v>
      </c>
      <c r="D83" s="105">
        <v>4199734</v>
      </c>
      <c r="E83" s="105">
        <v>4136085</v>
      </c>
      <c r="F83" s="105">
        <v>4302715</v>
      </c>
      <c r="G83" s="105">
        <v>4052176</v>
      </c>
      <c r="H83" s="105"/>
      <c r="I83" s="105"/>
      <c r="J83" s="105"/>
      <c r="K83" s="105"/>
      <c r="L83" s="105"/>
      <c r="M83" s="105"/>
      <c r="N83" s="105"/>
      <c r="O83" s="105">
        <f t="shared" si="15"/>
        <v>20687369</v>
      </c>
    </row>
    <row r="84" spans="1:15" ht="16.5" customHeight="1" x14ac:dyDescent="0.15">
      <c r="A84" s="247"/>
      <c r="B84" s="171"/>
      <c r="C84" s="107"/>
      <c r="D84" s="107">
        <v>26</v>
      </c>
      <c r="E84" s="107">
        <v>25</v>
      </c>
      <c r="F84" s="107">
        <v>26</v>
      </c>
      <c r="G84" s="107">
        <v>26</v>
      </c>
      <c r="H84" s="107"/>
      <c r="I84" s="107"/>
      <c r="J84" s="107"/>
      <c r="K84" s="107"/>
      <c r="L84" s="107"/>
      <c r="M84" s="107"/>
      <c r="N84" s="107"/>
      <c r="O84" s="107"/>
    </row>
    <row r="85" spans="1:15" ht="16.5" customHeight="1" thickBot="1" x14ac:dyDescent="0.2">
      <c r="A85" s="247"/>
      <c r="B85" s="171" t="s">
        <v>171</v>
      </c>
      <c r="C85" s="107">
        <v>10</v>
      </c>
      <c r="D85" s="107">
        <v>17</v>
      </c>
      <c r="E85" s="107">
        <v>18</v>
      </c>
      <c r="F85" s="107">
        <v>22</v>
      </c>
      <c r="G85" s="107">
        <v>8</v>
      </c>
      <c r="H85" s="107"/>
      <c r="I85" s="107"/>
      <c r="J85" s="107"/>
      <c r="K85" s="107"/>
      <c r="L85" s="107"/>
      <c r="M85" s="107"/>
      <c r="N85" s="107"/>
      <c r="O85" s="168">
        <f t="shared" si="15"/>
        <v>75</v>
      </c>
    </row>
    <row r="86" spans="1:15" ht="16.5" customHeight="1" thickTop="1" x14ac:dyDescent="0.15">
      <c r="A86" s="247"/>
      <c r="B86" s="169" t="s">
        <v>159</v>
      </c>
      <c r="C86" s="110">
        <f>IF(C74="","",C74-SUM(C75:C82))</f>
        <v>996175</v>
      </c>
      <c r="D86" s="110">
        <v>964381</v>
      </c>
      <c r="E86" s="110">
        <v>913799</v>
      </c>
      <c r="F86" s="110">
        <v>950624</v>
      </c>
      <c r="G86" s="110">
        <v>1024137</v>
      </c>
      <c r="H86" s="110" t="str">
        <f t="shared" ref="H86:M86" si="16">IF(H74="","",H74-SUM(H75:H82))</f>
        <v/>
      </c>
      <c r="I86" s="110" t="str">
        <f t="shared" si="16"/>
        <v/>
      </c>
      <c r="J86" s="110" t="str">
        <f t="shared" si="16"/>
        <v/>
      </c>
      <c r="K86" s="110" t="str">
        <f t="shared" si="16"/>
        <v/>
      </c>
      <c r="L86" s="110" t="str">
        <f t="shared" si="16"/>
        <v/>
      </c>
      <c r="M86" s="110" t="str">
        <f t="shared" si="16"/>
        <v/>
      </c>
      <c r="N86" s="110" t="str">
        <f>IF(N74="","",N74-SUM(N75:N82))</f>
        <v/>
      </c>
      <c r="O86" s="110">
        <f>IF(O74="","",O74-SUM(O75:O82))</f>
        <v>4849116</v>
      </c>
    </row>
    <row r="87" spans="1:15" ht="16.5" customHeight="1" thickBot="1" x14ac:dyDescent="0.2">
      <c r="A87" s="248"/>
      <c r="B87" s="170" t="s">
        <v>160</v>
      </c>
      <c r="C87" s="112">
        <f>IF(C74="","",IF(C74=0,"―     ",C86/C74))</f>
        <v>0.17908529020652852</v>
      </c>
      <c r="D87" s="112">
        <v>0.16807782902745957</v>
      </c>
      <c r="E87" s="112">
        <v>0.16317384729996806</v>
      </c>
      <c r="F87" s="112">
        <v>0.16376228229175963</v>
      </c>
      <c r="G87" s="112">
        <v>0.183392026450761</v>
      </c>
      <c r="H87" s="112" t="str">
        <f t="shared" ref="H87:N87" si="17">IF(H74="","",IF(H74=0,"―     ",H86/H74))</f>
        <v/>
      </c>
      <c r="I87" s="112" t="str">
        <f t="shared" si="17"/>
        <v/>
      </c>
      <c r="J87" s="112" t="str">
        <f t="shared" si="17"/>
        <v/>
      </c>
      <c r="K87" s="112" t="str">
        <f t="shared" si="17"/>
        <v/>
      </c>
      <c r="L87" s="112" t="str">
        <f t="shared" si="17"/>
        <v/>
      </c>
      <c r="M87" s="112" t="str">
        <f t="shared" si="17"/>
        <v/>
      </c>
      <c r="N87" s="112" t="str">
        <f t="shared" si="17"/>
        <v/>
      </c>
      <c r="O87" s="112">
        <f>IF(O74="","",IF(O74=0,"―     ",O86/O74))</f>
        <v>0.17140893786618827</v>
      </c>
    </row>
    <row r="88" spans="1:15" ht="16.5" customHeight="1" x14ac:dyDescent="0.15">
      <c r="A88" s="257"/>
      <c r="B88" s="164" t="s">
        <v>21</v>
      </c>
      <c r="C88" s="102">
        <v>537600</v>
      </c>
      <c r="D88" s="102">
        <v>460800</v>
      </c>
      <c r="E88" s="102">
        <v>537600</v>
      </c>
      <c r="F88" s="102">
        <v>460800</v>
      </c>
      <c r="G88" s="102">
        <v>550400</v>
      </c>
      <c r="H88" s="102"/>
      <c r="I88" s="102"/>
      <c r="J88" s="102"/>
      <c r="K88" s="102"/>
      <c r="L88" s="102"/>
      <c r="M88" s="102"/>
      <c r="N88" s="102"/>
      <c r="O88" s="103">
        <f>SUM(C88:N88)</f>
        <v>2547200</v>
      </c>
    </row>
    <row r="89" spans="1:15" ht="16.5" customHeight="1" x14ac:dyDescent="0.15">
      <c r="A89" s="247"/>
      <c r="B89" s="166" t="s">
        <v>155</v>
      </c>
      <c r="C89" s="105">
        <v>319200</v>
      </c>
      <c r="D89" s="105">
        <v>361200</v>
      </c>
      <c r="E89" s="105">
        <v>361200</v>
      </c>
      <c r="F89" s="105">
        <v>319200</v>
      </c>
      <c r="G89" s="105">
        <v>361200</v>
      </c>
      <c r="H89" s="105"/>
      <c r="I89" s="105"/>
      <c r="J89" s="105"/>
      <c r="K89" s="105"/>
      <c r="L89" s="105"/>
      <c r="M89" s="105"/>
      <c r="N89" s="105"/>
      <c r="O89" s="105">
        <f t="shared" ref="O89:O99" si="18">SUM(C89:N89)</f>
        <v>1722000</v>
      </c>
    </row>
    <row r="90" spans="1:15" ht="16.5" customHeight="1" x14ac:dyDescent="0.15">
      <c r="A90" s="247"/>
      <c r="B90" s="166" t="s">
        <v>156</v>
      </c>
      <c r="C90" s="105">
        <v>0</v>
      </c>
      <c r="D90" s="105">
        <v>0</v>
      </c>
      <c r="E90" s="105">
        <v>0</v>
      </c>
      <c r="F90" s="105">
        <v>0</v>
      </c>
      <c r="G90" s="105">
        <v>0</v>
      </c>
      <c r="H90" s="105"/>
      <c r="I90" s="105"/>
      <c r="J90" s="105"/>
      <c r="K90" s="105"/>
      <c r="L90" s="105"/>
      <c r="M90" s="105"/>
      <c r="N90" s="105"/>
      <c r="O90" s="105">
        <f t="shared" si="18"/>
        <v>0</v>
      </c>
    </row>
    <row r="91" spans="1:15" ht="16.5" customHeight="1" x14ac:dyDescent="0.15">
      <c r="A91" s="247"/>
      <c r="B91" s="166" t="s">
        <v>26</v>
      </c>
      <c r="C91" s="105">
        <v>3800</v>
      </c>
      <c r="D91" s="105">
        <v>4080</v>
      </c>
      <c r="E91" s="105">
        <v>4120</v>
      </c>
      <c r="F91" s="105">
        <v>3800</v>
      </c>
      <c r="G91" s="105">
        <v>3960</v>
      </c>
      <c r="H91" s="105"/>
      <c r="I91" s="105"/>
      <c r="J91" s="105"/>
      <c r="K91" s="105"/>
      <c r="L91" s="105"/>
      <c r="M91" s="105"/>
      <c r="N91" s="105"/>
      <c r="O91" s="105">
        <f t="shared" si="18"/>
        <v>19760</v>
      </c>
    </row>
    <row r="92" spans="1:15" ht="16.5" customHeight="1" x14ac:dyDescent="0.15">
      <c r="A92" s="247"/>
      <c r="B92" s="166" t="s">
        <v>66</v>
      </c>
      <c r="C92" s="106">
        <v>0</v>
      </c>
      <c r="D92" s="105">
        <v>0</v>
      </c>
      <c r="E92" s="105">
        <v>0</v>
      </c>
      <c r="F92" s="105">
        <v>0</v>
      </c>
      <c r="G92" s="105">
        <v>0</v>
      </c>
      <c r="H92" s="105"/>
      <c r="I92" s="106"/>
      <c r="J92" s="106"/>
      <c r="K92" s="106"/>
      <c r="L92" s="106"/>
      <c r="M92" s="106"/>
      <c r="N92" s="106"/>
      <c r="O92" s="105">
        <f t="shared" si="18"/>
        <v>0</v>
      </c>
    </row>
    <row r="93" spans="1:15" ht="16.5" customHeight="1" x14ac:dyDescent="0.15">
      <c r="A93" s="247"/>
      <c r="B93" s="166" t="s">
        <v>22</v>
      </c>
      <c r="C93" s="105">
        <v>17605</v>
      </c>
      <c r="D93" s="105">
        <v>17605</v>
      </c>
      <c r="E93" s="105">
        <v>17605</v>
      </c>
      <c r="F93" s="105">
        <v>17605</v>
      </c>
      <c r="G93" s="105">
        <v>17605</v>
      </c>
      <c r="H93" s="105"/>
      <c r="I93" s="105"/>
      <c r="J93" s="105"/>
      <c r="K93" s="105"/>
      <c r="L93" s="105"/>
      <c r="M93" s="105"/>
      <c r="N93" s="105"/>
      <c r="O93" s="105">
        <f t="shared" si="18"/>
        <v>88025</v>
      </c>
    </row>
    <row r="94" spans="1:15" ht="16.5" customHeight="1" x14ac:dyDescent="0.15">
      <c r="A94" s="247"/>
      <c r="B94" s="166" t="s">
        <v>67</v>
      </c>
      <c r="C94" s="105">
        <v>1395</v>
      </c>
      <c r="D94" s="105">
        <v>1395</v>
      </c>
      <c r="E94" s="105">
        <v>1395</v>
      </c>
      <c r="F94" s="105">
        <v>1395</v>
      </c>
      <c r="G94" s="105">
        <v>1395</v>
      </c>
      <c r="H94" s="105"/>
      <c r="I94" s="105"/>
      <c r="J94" s="105"/>
      <c r="K94" s="105"/>
      <c r="L94" s="105"/>
      <c r="M94" s="105"/>
      <c r="N94" s="105"/>
      <c r="O94" s="105">
        <f t="shared" si="18"/>
        <v>6975</v>
      </c>
    </row>
    <row r="95" spans="1:15" ht="16.5" customHeight="1" x14ac:dyDescent="0.15">
      <c r="A95" s="247"/>
      <c r="B95" s="166" t="s">
        <v>23</v>
      </c>
      <c r="C95" s="105">
        <v>29340</v>
      </c>
      <c r="D95" s="105">
        <v>29340</v>
      </c>
      <c r="E95" s="105">
        <v>29340</v>
      </c>
      <c r="F95" s="105">
        <v>29340</v>
      </c>
      <c r="G95" s="105">
        <v>29340</v>
      </c>
      <c r="H95" s="105"/>
      <c r="I95" s="105"/>
      <c r="J95" s="105"/>
      <c r="K95" s="105"/>
      <c r="L95" s="105"/>
      <c r="M95" s="105"/>
      <c r="N95" s="105"/>
      <c r="O95" s="105">
        <f t="shared" si="18"/>
        <v>146700</v>
      </c>
    </row>
    <row r="96" spans="1:15" ht="16.5" customHeight="1" x14ac:dyDescent="0.15">
      <c r="A96" s="247"/>
      <c r="B96" s="166" t="s">
        <v>157</v>
      </c>
      <c r="C96" s="105">
        <v>2557</v>
      </c>
      <c r="D96" s="105">
        <v>3104</v>
      </c>
      <c r="E96" s="105">
        <v>3106</v>
      </c>
      <c r="F96" s="105">
        <v>2745</v>
      </c>
      <c r="G96" s="105">
        <v>3102</v>
      </c>
      <c r="H96" s="105"/>
      <c r="I96" s="105"/>
      <c r="J96" s="105"/>
      <c r="K96" s="105"/>
      <c r="L96" s="105"/>
      <c r="M96" s="105"/>
      <c r="N96" s="105"/>
      <c r="O96" s="105">
        <f t="shared" si="18"/>
        <v>14614</v>
      </c>
    </row>
    <row r="97" spans="1:15" ht="16.5" customHeight="1" x14ac:dyDescent="0.15">
      <c r="A97" s="247"/>
      <c r="B97" s="166" t="s">
        <v>158</v>
      </c>
      <c r="C97" s="105">
        <v>323000</v>
      </c>
      <c r="D97" s="105">
        <v>365280</v>
      </c>
      <c r="E97" s="105">
        <v>365320</v>
      </c>
      <c r="F97" s="105">
        <v>323000</v>
      </c>
      <c r="G97" s="105">
        <v>365160</v>
      </c>
      <c r="H97" s="105"/>
      <c r="I97" s="105"/>
      <c r="J97" s="105"/>
      <c r="K97" s="105"/>
      <c r="L97" s="105"/>
      <c r="M97" s="105"/>
      <c r="N97" s="105"/>
      <c r="O97" s="105">
        <f t="shared" si="18"/>
        <v>1741760</v>
      </c>
    </row>
    <row r="98" spans="1:15" ht="16.5" customHeight="1" x14ac:dyDescent="0.15">
      <c r="A98" s="247"/>
      <c r="B98" s="171"/>
      <c r="C98" s="107"/>
      <c r="D98" s="107">
        <v>2</v>
      </c>
      <c r="E98" s="107">
        <v>2</v>
      </c>
      <c r="F98" s="107">
        <v>2</v>
      </c>
      <c r="G98" s="107">
        <v>2</v>
      </c>
      <c r="H98" s="107"/>
      <c r="I98" s="107"/>
      <c r="J98" s="107"/>
      <c r="K98" s="107"/>
      <c r="L98" s="107"/>
      <c r="M98" s="107"/>
      <c r="N98" s="107"/>
      <c r="O98" s="107"/>
    </row>
    <row r="99" spans="1:15" ht="16.5" customHeight="1" thickBot="1" x14ac:dyDescent="0.2">
      <c r="A99" s="247"/>
      <c r="B99" s="171" t="s">
        <v>171</v>
      </c>
      <c r="C99" s="107">
        <v>0</v>
      </c>
      <c r="D99" s="107">
        <v>2</v>
      </c>
      <c r="E99" s="107">
        <v>2</v>
      </c>
      <c r="F99" s="107">
        <v>0</v>
      </c>
      <c r="G99" s="107">
        <v>3</v>
      </c>
      <c r="H99" s="107"/>
      <c r="I99" s="107"/>
      <c r="J99" s="107"/>
      <c r="K99" s="107"/>
      <c r="L99" s="107"/>
      <c r="M99" s="107"/>
      <c r="N99" s="107"/>
      <c r="O99" s="168">
        <f t="shared" si="18"/>
        <v>7</v>
      </c>
    </row>
    <row r="100" spans="1:15" ht="16.5" customHeight="1" thickTop="1" x14ac:dyDescent="0.15">
      <c r="A100" s="247"/>
      <c r="B100" s="169" t="s">
        <v>159</v>
      </c>
      <c r="C100" s="110">
        <f>IF(C88="","",C88-SUM(C89:C96))</f>
        <v>163703</v>
      </c>
      <c r="D100" s="110">
        <v>44076</v>
      </c>
      <c r="E100" s="110">
        <v>120834</v>
      </c>
      <c r="F100" s="110">
        <v>86715</v>
      </c>
      <c r="G100" s="110">
        <v>133798</v>
      </c>
      <c r="H100" s="110" t="str">
        <f t="shared" ref="H100:M100" si="19">IF(H88="","",H88-SUM(H89:H96))</f>
        <v/>
      </c>
      <c r="I100" s="110" t="str">
        <f t="shared" si="19"/>
        <v/>
      </c>
      <c r="J100" s="110" t="str">
        <f t="shared" si="19"/>
        <v/>
      </c>
      <c r="K100" s="110" t="str">
        <f t="shared" si="19"/>
        <v/>
      </c>
      <c r="L100" s="110" t="str">
        <f t="shared" si="19"/>
        <v/>
      </c>
      <c r="M100" s="110" t="str">
        <f t="shared" si="19"/>
        <v/>
      </c>
      <c r="N100" s="110" t="str">
        <f>IF(N88="","",N88-SUM(N89:N96))</f>
        <v/>
      </c>
      <c r="O100" s="110">
        <f>IF(O88="","",O88-SUM(O89:O96))</f>
        <v>549126</v>
      </c>
    </row>
    <row r="101" spans="1:15" ht="16.5" customHeight="1" thickBot="1" x14ac:dyDescent="0.2">
      <c r="A101" s="248"/>
      <c r="B101" s="170" t="s">
        <v>160</v>
      </c>
      <c r="C101" s="112">
        <f>IF(C88="","",IF(C88=0,"―     ",C100/C88))</f>
        <v>0.30450706845238096</v>
      </c>
      <c r="D101" s="112">
        <v>9.5651041666666672E-2</v>
      </c>
      <c r="E101" s="112">
        <v>0.224765625</v>
      </c>
      <c r="F101" s="112">
        <v>0.18818359374999999</v>
      </c>
      <c r="G101" s="112">
        <v>0.24309229651162792</v>
      </c>
      <c r="H101" s="112" t="str">
        <f t="shared" ref="H101:N101" si="20">IF(H88="","",IF(H88=0,"―     ",H100/H88))</f>
        <v/>
      </c>
      <c r="I101" s="112" t="str">
        <f t="shared" si="20"/>
        <v/>
      </c>
      <c r="J101" s="112" t="str">
        <f t="shared" si="20"/>
        <v/>
      </c>
      <c r="K101" s="112" t="str">
        <f t="shared" si="20"/>
        <v/>
      </c>
      <c r="L101" s="112" t="str">
        <f t="shared" si="20"/>
        <v/>
      </c>
      <c r="M101" s="112" t="str">
        <f t="shared" si="20"/>
        <v/>
      </c>
      <c r="N101" s="112" t="str">
        <f t="shared" si="20"/>
        <v/>
      </c>
      <c r="O101" s="112">
        <f>IF(O88="","",IF(O88=0,"―     ",O100/O88))</f>
        <v>0.21558024497487438</v>
      </c>
    </row>
    <row r="102" spans="1:15" ht="16.5" customHeight="1" x14ac:dyDescent="0.15">
      <c r="A102" s="257"/>
      <c r="B102" s="164" t="s">
        <v>21</v>
      </c>
      <c r="C102" s="102">
        <v>444462</v>
      </c>
      <c r="D102" s="102">
        <v>477400</v>
      </c>
      <c r="E102" s="102">
        <v>495510</v>
      </c>
      <c r="F102" s="102">
        <v>492512</v>
      </c>
      <c r="G102" s="102">
        <v>471486</v>
      </c>
      <c r="H102" s="102"/>
      <c r="I102" s="102"/>
      <c r="J102" s="102"/>
      <c r="K102" s="102"/>
      <c r="L102" s="102"/>
      <c r="M102" s="102"/>
      <c r="N102" s="102"/>
      <c r="O102" s="103">
        <f>SUM(C102:N102)</f>
        <v>2381370</v>
      </c>
    </row>
    <row r="103" spans="1:15" ht="16.5" customHeight="1" x14ac:dyDescent="0.15">
      <c r="A103" s="247"/>
      <c r="B103" s="166" t="s">
        <v>155</v>
      </c>
      <c r="C103" s="105">
        <v>259548</v>
      </c>
      <c r="D103" s="105">
        <v>278750</v>
      </c>
      <c r="E103" s="105">
        <v>282255</v>
      </c>
      <c r="F103" s="105">
        <v>296205</v>
      </c>
      <c r="G103" s="105">
        <v>274970</v>
      </c>
      <c r="H103" s="105"/>
      <c r="I103" s="105"/>
      <c r="J103" s="105"/>
      <c r="K103" s="105"/>
      <c r="L103" s="105"/>
      <c r="M103" s="105"/>
      <c r="N103" s="105"/>
      <c r="O103" s="105">
        <f t="shared" ref="O103:O113" si="21">SUM(C103:N103)</f>
        <v>1391728</v>
      </c>
    </row>
    <row r="104" spans="1:15" ht="16.5" customHeight="1" x14ac:dyDescent="0.15">
      <c r="A104" s="247"/>
      <c r="B104" s="166" t="s">
        <v>156</v>
      </c>
      <c r="C104" s="105">
        <v>0</v>
      </c>
      <c r="D104" s="105">
        <v>0</v>
      </c>
      <c r="E104" s="105">
        <v>0</v>
      </c>
      <c r="F104" s="105">
        <v>0</v>
      </c>
      <c r="G104" s="105">
        <v>0</v>
      </c>
      <c r="H104" s="105"/>
      <c r="I104" s="105"/>
      <c r="J104" s="105"/>
      <c r="K104" s="105"/>
      <c r="L104" s="105"/>
      <c r="M104" s="105"/>
      <c r="N104" s="105"/>
      <c r="O104" s="105">
        <f t="shared" si="21"/>
        <v>0</v>
      </c>
    </row>
    <row r="105" spans="1:15" ht="16.5" customHeight="1" x14ac:dyDescent="0.15">
      <c r="A105" s="247"/>
      <c r="B105" s="166" t="s">
        <v>26</v>
      </c>
      <c r="C105" s="105">
        <v>1900</v>
      </c>
      <c r="D105" s="105">
        <v>2000</v>
      </c>
      <c r="E105" s="105">
        <v>2100</v>
      </c>
      <c r="F105" s="105">
        <v>2000</v>
      </c>
      <c r="G105" s="105">
        <v>1900</v>
      </c>
      <c r="H105" s="105"/>
      <c r="I105" s="105"/>
      <c r="J105" s="105"/>
      <c r="K105" s="105"/>
      <c r="L105" s="105"/>
      <c r="M105" s="105"/>
      <c r="N105" s="105"/>
      <c r="O105" s="105">
        <f t="shared" si="21"/>
        <v>9900</v>
      </c>
    </row>
    <row r="106" spans="1:15" ht="16.5" customHeight="1" x14ac:dyDescent="0.15">
      <c r="A106" s="247"/>
      <c r="B106" s="166" t="s">
        <v>66</v>
      </c>
      <c r="C106" s="106">
        <v>0</v>
      </c>
      <c r="D106" s="105">
        <v>0</v>
      </c>
      <c r="E106" s="105">
        <v>8719</v>
      </c>
      <c r="F106" s="105">
        <v>0</v>
      </c>
      <c r="G106" s="105">
        <v>8913</v>
      </c>
      <c r="H106" s="105"/>
      <c r="I106" s="106"/>
      <c r="J106" s="106"/>
      <c r="K106" s="106"/>
      <c r="L106" s="106"/>
      <c r="M106" s="106"/>
      <c r="N106" s="106"/>
      <c r="O106" s="105">
        <f t="shared" si="21"/>
        <v>17632</v>
      </c>
    </row>
    <row r="107" spans="1:15" ht="16.5" customHeight="1" x14ac:dyDescent="0.15">
      <c r="A107" s="247"/>
      <c r="B107" s="166" t="s">
        <v>22</v>
      </c>
      <c r="C107" s="105">
        <v>14688</v>
      </c>
      <c r="D107" s="105">
        <v>14688</v>
      </c>
      <c r="E107" s="105">
        <v>14688</v>
      </c>
      <c r="F107" s="105">
        <v>14688</v>
      </c>
      <c r="G107" s="105">
        <v>14688</v>
      </c>
      <c r="H107" s="105"/>
      <c r="I107" s="105"/>
      <c r="J107" s="105"/>
      <c r="K107" s="105"/>
      <c r="L107" s="105"/>
      <c r="M107" s="105"/>
      <c r="N107" s="105"/>
      <c r="O107" s="105">
        <f t="shared" si="21"/>
        <v>73440</v>
      </c>
    </row>
    <row r="108" spans="1:15" ht="16.5" customHeight="1" x14ac:dyDescent="0.15">
      <c r="A108" s="247"/>
      <c r="B108" s="166" t="s">
        <v>67</v>
      </c>
      <c r="C108" s="105">
        <v>0</v>
      </c>
      <c r="D108" s="105">
        <v>0</v>
      </c>
      <c r="E108" s="105">
        <v>0</v>
      </c>
      <c r="F108" s="105">
        <v>0</v>
      </c>
      <c r="G108" s="105">
        <v>0</v>
      </c>
      <c r="H108" s="105"/>
      <c r="I108" s="105"/>
      <c r="J108" s="105"/>
      <c r="K108" s="105"/>
      <c r="L108" s="105"/>
      <c r="M108" s="105"/>
      <c r="N108" s="105"/>
      <c r="O108" s="105">
        <f t="shared" si="21"/>
        <v>0</v>
      </c>
    </row>
    <row r="109" spans="1:15" ht="16.5" customHeight="1" x14ac:dyDescent="0.15">
      <c r="A109" s="247"/>
      <c r="B109" s="166" t="s">
        <v>23</v>
      </c>
      <c r="C109" s="105">
        <v>24478</v>
      </c>
      <c r="D109" s="105">
        <v>24478</v>
      </c>
      <c r="E109" s="105">
        <v>24478</v>
      </c>
      <c r="F109" s="105">
        <v>24478</v>
      </c>
      <c r="G109" s="105">
        <v>24478</v>
      </c>
      <c r="H109" s="105"/>
      <c r="I109" s="105"/>
      <c r="J109" s="105"/>
      <c r="K109" s="105"/>
      <c r="L109" s="105"/>
      <c r="M109" s="105"/>
      <c r="N109" s="105"/>
      <c r="O109" s="105">
        <f t="shared" si="21"/>
        <v>122390</v>
      </c>
    </row>
    <row r="110" spans="1:15" ht="16.5" customHeight="1" x14ac:dyDescent="0.15">
      <c r="A110" s="247"/>
      <c r="B110" s="166" t="s">
        <v>157</v>
      </c>
      <c r="C110" s="105">
        <v>2069</v>
      </c>
      <c r="D110" s="105">
        <v>2386</v>
      </c>
      <c r="E110" s="105">
        <v>2490</v>
      </c>
      <c r="F110" s="105">
        <v>2534</v>
      </c>
      <c r="G110" s="105">
        <v>2428</v>
      </c>
      <c r="H110" s="105"/>
      <c r="I110" s="105"/>
      <c r="J110" s="105"/>
      <c r="K110" s="105"/>
      <c r="L110" s="105"/>
      <c r="M110" s="105"/>
      <c r="N110" s="105"/>
      <c r="O110" s="105">
        <f t="shared" si="21"/>
        <v>11907</v>
      </c>
    </row>
    <row r="111" spans="1:15" ht="16.5" customHeight="1" x14ac:dyDescent="0.15">
      <c r="A111" s="247"/>
      <c r="B111" s="166" t="s">
        <v>158</v>
      </c>
      <c r="C111" s="105">
        <v>261448</v>
      </c>
      <c r="D111" s="105">
        <v>280750</v>
      </c>
      <c r="E111" s="105">
        <v>293074</v>
      </c>
      <c r="F111" s="105">
        <v>298205</v>
      </c>
      <c r="G111" s="105">
        <v>285783</v>
      </c>
      <c r="H111" s="105"/>
      <c r="I111" s="105"/>
      <c r="J111" s="105"/>
      <c r="K111" s="105"/>
      <c r="L111" s="105"/>
      <c r="M111" s="105"/>
      <c r="N111" s="105"/>
      <c r="O111" s="105">
        <f t="shared" si="21"/>
        <v>1419260</v>
      </c>
    </row>
    <row r="112" spans="1:15" ht="16.5" customHeight="1" x14ac:dyDescent="0.15">
      <c r="A112" s="247"/>
      <c r="B112" s="171"/>
      <c r="C112" s="107"/>
      <c r="D112" s="107">
        <v>2</v>
      </c>
      <c r="E112" s="107">
        <v>2</v>
      </c>
      <c r="F112" s="107">
        <v>2</v>
      </c>
      <c r="G112" s="107">
        <v>2</v>
      </c>
      <c r="H112" s="107"/>
      <c r="I112" s="107"/>
      <c r="J112" s="107"/>
      <c r="K112" s="107"/>
      <c r="L112" s="107"/>
      <c r="M112" s="107"/>
      <c r="N112" s="107"/>
      <c r="O112" s="107"/>
    </row>
    <row r="113" spans="1:15" ht="16.5" customHeight="1" thickBot="1" x14ac:dyDescent="0.2">
      <c r="A113" s="247"/>
      <c r="B113" s="171" t="s">
        <v>171</v>
      </c>
      <c r="C113" s="107">
        <v>0</v>
      </c>
      <c r="D113" s="107">
        <v>0</v>
      </c>
      <c r="E113" s="107">
        <v>0</v>
      </c>
      <c r="F113" s="107">
        <v>1</v>
      </c>
      <c r="G113" s="107">
        <v>1</v>
      </c>
      <c r="H113" s="107"/>
      <c r="I113" s="107"/>
      <c r="J113" s="107"/>
      <c r="K113" s="107"/>
      <c r="L113" s="107"/>
      <c r="M113" s="107"/>
      <c r="N113" s="107"/>
      <c r="O113" s="168">
        <f t="shared" si="21"/>
        <v>2</v>
      </c>
    </row>
    <row r="114" spans="1:15" ht="16.5" customHeight="1" thickTop="1" x14ac:dyDescent="0.15">
      <c r="A114" s="247"/>
      <c r="B114" s="169" t="s">
        <v>159</v>
      </c>
      <c r="C114" s="110">
        <f>IF(C102="","",C102-SUM(C103:C110))</f>
        <v>141779</v>
      </c>
      <c r="D114" s="110">
        <v>155098</v>
      </c>
      <c r="E114" s="110">
        <v>160780</v>
      </c>
      <c r="F114" s="110">
        <v>152607</v>
      </c>
      <c r="G114" s="110">
        <v>144109</v>
      </c>
      <c r="H114" s="110" t="str">
        <f t="shared" ref="H114:M114" si="22">IF(H102="","",H102-SUM(H103:H110))</f>
        <v/>
      </c>
      <c r="I114" s="110" t="str">
        <f t="shared" si="22"/>
        <v/>
      </c>
      <c r="J114" s="110" t="str">
        <f t="shared" si="22"/>
        <v/>
      </c>
      <c r="K114" s="110" t="str">
        <f t="shared" si="22"/>
        <v/>
      </c>
      <c r="L114" s="110" t="str">
        <f t="shared" si="22"/>
        <v/>
      </c>
      <c r="M114" s="110" t="str">
        <f t="shared" si="22"/>
        <v/>
      </c>
      <c r="N114" s="110" t="str">
        <f>IF(N102="","",N102-SUM(N103:N110))</f>
        <v/>
      </c>
      <c r="O114" s="110">
        <f>IF(O102="","",O102-SUM(O103:O110))</f>
        <v>754373</v>
      </c>
    </row>
    <row r="115" spans="1:15" ht="16.5" customHeight="1" thickBot="1" x14ac:dyDescent="0.2">
      <c r="A115" s="248"/>
      <c r="B115" s="170" t="s">
        <v>160</v>
      </c>
      <c r="C115" s="112">
        <f>IF(C102="","",IF(C102=0,"―     ",C114/C102))</f>
        <v>0.31899014988907937</v>
      </c>
      <c r="D115" s="112">
        <v>0.32488060326770002</v>
      </c>
      <c r="E115" s="112">
        <v>0.32447377449496478</v>
      </c>
      <c r="F115" s="112">
        <v>0.30985437918263919</v>
      </c>
      <c r="G115" s="112">
        <v>0.30564852402828502</v>
      </c>
      <c r="H115" s="112" t="str">
        <f t="shared" ref="H115:N115" si="23">IF(H102="","",IF(H102=0,"―     ",H114/H102))</f>
        <v/>
      </c>
      <c r="I115" s="112" t="str">
        <f t="shared" si="23"/>
        <v/>
      </c>
      <c r="J115" s="112" t="str">
        <f t="shared" si="23"/>
        <v/>
      </c>
      <c r="K115" s="112" t="str">
        <f t="shared" si="23"/>
        <v/>
      </c>
      <c r="L115" s="112" t="str">
        <f t="shared" si="23"/>
        <v/>
      </c>
      <c r="M115" s="112" t="str">
        <f t="shared" si="23"/>
        <v/>
      </c>
      <c r="N115" s="112" t="str">
        <f t="shared" si="23"/>
        <v/>
      </c>
      <c r="O115" s="112">
        <f>IF(O102="","",IF(O102=0,"―     ",O114/O102))</f>
        <v>0.31678109659565712</v>
      </c>
    </row>
    <row r="116" spans="1:15" ht="16.5" customHeight="1" x14ac:dyDescent="0.15">
      <c r="A116" s="258"/>
      <c r="B116" s="164" t="s">
        <v>21</v>
      </c>
      <c r="C116" s="102">
        <v>20300000</v>
      </c>
      <c r="D116" s="102">
        <v>20300000</v>
      </c>
      <c r="E116" s="102">
        <v>20860000</v>
      </c>
      <c r="F116" s="102">
        <v>21048750</v>
      </c>
      <c r="G116" s="102">
        <v>20860000</v>
      </c>
      <c r="H116" s="102"/>
      <c r="I116" s="102"/>
      <c r="J116" s="102"/>
      <c r="K116" s="102"/>
      <c r="L116" s="102"/>
      <c r="M116" s="102"/>
      <c r="N116" s="102"/>
      <c r="O116" s="103">
        <f>SUM(C116:N116)</f>
        <v>103368750</v>
      </c>
    </row>
    <row r="117" spans="1:15" ht="16.5" customHeight="1" x14ac:dyDescent="0.15">
      <c r="A117" s="247"/>
      <c r="B117" s="166" t="s">
        <v>155</v>
      </c>
      <c r="C117" s="105">
        <v>11540290</v>
      </c>
      <c r="D117" s="105">
        <v>12306070</v>
      </c>
      <c r="E117" s="105">
        <v>13208553</v>
      </c>
      <c r="F117" s="105">
        <v>12817133</v>
      </c>
      <c r="G117" s="105">
        <v>12818095</v>
      </c>
      <c r="H117" s="105"/>
      <c r="I117" s="105"/>
      <c r="J117" s="105"/>
      <c r="K117" s="105"/>
      <c r="L117" s="105"/>
      <c r="M117" s="105"/>
      <c r="N117" s="105"/>
      <c r="O117" s="105">
        <f t="shared" ref="O117:O127" si="24">SUM(C117:N117)</f>
        <v>62690141</v>
      </c>
    </row>
    <row r="118" spans="1:15" ht="16.5" customHeight="1" x14ac:dyDescent="0.15">
      <c r="A118" s="247"/>
      <c r="B118" s="166" t="s">
        <v>156</v>
      </c>
      <c r="C118" s="105">
        <v>121000</v>
      </c>
      <c r="D118" s="105">
        <v>123000</v>
      </c>
      <c r="E118" s="105">
        <v>123000</v>
      </c>
      <c r="F118" s="105">
        <v>123000</v>
      </c>
      <c r="G118" s="105">
        <v>125600</v>
      </c>
      <c r="H118" s="105"/>
      <c r="I118" s="105"/>
      <c r="J118" s="105"/>
      <c r="K118" s="105"/>
      <c r="L118" s="105"/>
      <c r="M118" s="105"/>
      <c r="N118" s="105"/>
      <c r="O118" s="105">
        <f t="shared" si="24"/>
        <v>615600</v>
      </c>
    </row>
    <row r="119" spans="1:15" ht="16.5" customHeight="1" x14ac:dyDescent="0.15">
      <c r="A119" s="247"/>
      <c r="B119" s="166" t="s">
        <v>26</v>
      </c>
      <c r="C119" s="105">
        <v>251580</v>
      </c>
      <c r="D119" s="105">
        <v>268730</v>
      </c>
      <c r="E119" s="105">
        <v>280340</v>
      </c>
      <c r="F119" s="105">
        <v>259380</v>
      </c>
      <c r="G119" s="105">
        <v>253480</v>
      </c>
      <c r="H119" s="105"/>
      <c r="I119" s="105"/>
      <c r="J119" s="105"/>
      <c r="K119" s="105"/>
      <c r="L119" s="105"/>
      <c r="M119" s="105"/>
      <c r="N119" s="105"/>
      <c r="O119" s="105">
        <f t="shared" si="24"/>
        <v>1313510</v>
      </c>
    </row>
    <row r="120" spans="1:15" ht="16.5" customHeight="1" x14ac:dyDescent="0.15">
      <c r="A120" s="247"/>
      <c r="B120" s="166" t="s">
        <v>66</v>
      </c>
      <c r="C120" s="106">
        <v>13198</v>
      </c>
      <c r="D120" s="105">
        <v>21002</v>
      </c>
      <c r="E120" s="105">
        <v>9596</v>
      </c>
      <c r="F120" s="105">
        <v>127053</v>
      </c>
      <c r="G120" s="105">
        <v>36047</v>
      </c>
      <c r="H120" s="105"/>
      <c r="I120" s="106"/>
      <c r="J120" s="106"/>
      <c r="K120" s="106"/>
      <c r="L120" s="106"/>
      <c r="M120" s="106"/>
      <c r="N120" s="106"/>
      <c r="O120" s="105">
        <f t="shared" si="24"/>
        <v>206896</v>
      </c>
    </row>
    <row r="121" spans="1:15" ht="16.5" customHeight="1" x14ac:dyDescent="0.15">
      <c r="A121" s="247"/>
      <c r="B121" s="166" t="s">
        <v>22</v>
      </c>
      <c r="C121" s="105">
        <v>491842</v>
      </c>
      <c r="D121" s="105">
        <v>478361</v>
      </c>
      <c r="E121" s="105">
        <v>485504</v>
      </c>
      <c r="F121" s="105">
        <v>485504</v>
      </c>
      <c r="G121" s="105">
        <v>506933</v>
      </c>
      <c r="H121" s="105"/>
      <c r="I121" s="105"/>
      <c r="J121" s="105"/>
      <c r="K121" s="105"/>
      <c r="L121" s="105"/>
      <c r="M121" s="105"/>
      <c r="N121" s="105"/>
      <c r="O121" s="105">
        <f t="shared" si="24"/>
        <v>2448144</v>
      </c>
    </row>
    <row r="122" spans="1:15" ht="16.5" customHeight="1" x14ac:dyDescent="0.15">
      <c r="A122" s="247"/>
      <c r="B122" s="166" t="s">
        <v>67</v>
      </c>
      <c r="C122" s="105">
        <v>66799</v>
      </c>
      <c r="D122" s="105">
        <v>64723</v>
      </c>
      <c r="E122" s="105">
        <v>65823</v>
      </c>
      <c r="F122" s="105">
        <v>66923</v>
      </c>
      <c r="G122" s="105">
        <v>70161</v>
      </c>
      <c r="H122" s="105"/>
      <c r="I122" s="105"/>
      <c r="J122" s="105"/>
      <c r="K122" s="105"/>
      <c r="L122" s="105"/>
      <c r="M122" s="105"/>
      <c r="N122" s="105"/>
      <c r="O122" s="105">
        <f t="shared" si="24"/>
        <v>334429</v>
      </c>
    </row>
    <row r="123" spans="1:15" ht="16.5" customHeight="1" x14ac:dyDescent="0.15">
      <c r="A123" s="247"/>
      <c r="B123" s="166" t="s">
        <v>23</v>
      </c>
      <c r="C123" s="105">
        <v>819687</v>
      </c>
      <c r="D123" s="105">
        <v>797220</v>
      </c>
      <c r="E123" s="105">
        <v>809124</v>
      </c>
      <c r="F123" s="105">
        <v>809124</v>
      </c>
      <c r="G123" s="105">
        <v>844836</v>
      </c>
      <c r="H123" s="105"/>
      <c r="I123" s="105"/>
      <c r="J123" s="105"/>
      <c r="K123" s="105"/>
      <c r="L123" s="105"/>
      <c r="M123" s="105"/>
      <c r="N123" s="105"/>
      <c r="O123" s="105">
        <f t="shared" si="24"/>
        <v>4079991</v>
      </c>
    </row>
    <row r="124" spans="1:15" ht="16.5" customHeight="1" x14ac:dyDescent="0.15">
      <c r="A124" s="247"/>
      <c r="B124" s="166" t="s">
        <v>157</v>
      </c>
      <c r="C124" s="105">
        <v>91822</v>
      </c>
      <c r="D124" s="105">
        <v>99835</v>
      </c>
      <c r="E124" s="105">
        <v>107322</v>
      </c>
      <c r="F124" s="105">
        <v>104348</v>
      </c>
      <c r="G124" s="105">
        <v>104522</v>
      </c>
      <c r="H124" s="105"/>
      <c r="I124" s="105"/>
      <c r="J124" s="105"/>
      <c r="K124" s="105"/>
      <c r="L124" s="105"/>
      <c r="M124" s="105"/>
      <c r="N124" s="105"/>
      <c r="O124" s="105">
        <f t="shared" si="24"/>
        <v>507849</v>
      </c>
    </row>
    <row r="125" spans="1:15" ht="16.5" customHeight="1" x14ac:dyDescent="0.15">
      <c r="A125" s="247"/>
      <c r="B125" s="166" t="s">
        <v>158</v>
      </c>
      <c r="C125" s="105">
        <v>11926068</v>
      </c>
      <c r="D125" s="105">
        <v>12718802</v>
      </c>
      <c r="E125" s="105">
        <v>13621489</v>
      </c>
      <c r="F125" s="105">
        <v>13326566</v>
      </c>
      <c r="G125" s="105">
        <v>13233222</v>
      </c>
      <c r="H125" s="105"/>
      <c r="I125" s="105"/>
      <c r="J125" s="105"/>
      <c r="K125" s="105"/>
      <c r="L125" s="105"/>
      <c r="M125" s="105"/>
      <c r="N125" s="105"/>
      <c r="O125" s="105">
        <f t="shared" si="24"/>
        <v>64826147</v>
      </c>
    </row>
    <row r="126" spans="1:15" ht="16.5" customHeight="1" x14ac:dyDescent="0.15">
      <c r="A126" s="247"/>
      <c r="B126" s="171"/>
      <c r="C126" s="107"/>
      <c r="D126" s="107">
        <v>102</v>
      </c>
      <c r="E126" s="107">
        <v>107</v>
      </c>
      <c r="F126" s="107">
        <v>106</v>
      </c>
      <c r="G126" s="107">
        <v>106</v>
      </c>
      <c r="H126" s="107"/>
      <c r="I126" s="107"/>
      <c r="J126" s="107"/>
      <c r="K126" s="107"/>
      <c r="L126" s="107"/>
      <c r="M126" s="107"/>
      <c r="N126" s="107"/>
      <c r="O126" s="107"/>
    </row>
    <row r="127" spans="1:15" ht="16.5" customHeight="1" thickBot="1" x14ac:dyDescent="0.2">
      <c r="A127" s="247"/>
      <c r="B127" s="171" t="s">
        <v>171</v>
      </c>
      <c r="C127" s="107">
        <v>56</v>
      </c>
      <c r="D127" s="107">
        <v>69</v>
      </c>
      <c r="E127" s="107">
        <v>71</v>
      </c>
      <c r="F127" s="107">
        <v>69</v>
      </c>
      <c r="G127" s="107">
        <v>85</v>
      </c>
      <c r="H127" s="107"/>
      <c r="I127" s="107"/>
      <c r="J127" s="107"/>
      <c r="K127" s="107"/>
      <c r="L127" s="107"/>
      <c r="M127" s="107"/>
      <c r="N127" s="107"/>
      <c r="O127" s="168">
        <f t="shared" si="24"/>
        <v>350</v>
      </c>
    </row>
    <row r="128" spans="1:15" ht="16.5" customHeight="1" thickTop="1" x14ac:dyDescent="0.15">
      <c r="A128" s="247"/>
      <c r="B128" s="169" t="s">
        <v>159</v>
      </c>
      <c r="C128" s="110">
        <f>IF(C116="","",C116-SUM(C117:C124))</f>
        <v>6903782</v>
      </c>
      <c r="D128" s="110">
        <v>6141059</v>
      </c>
      <c r="E128" s="110">
        <v>5770738</v>
      </c>
      <c r="F128" s="110">
        <v>6256285</v>
      </c>
      <c r="G128" s="110">
        <v>6100326</v>
      </c>
      <c r="H128" s="110" t="str">
        <f t="shared" ref="H128:M128" si="25">IF(H116="","",H116-SUM(H117:H124))</f>
        <v/>
      </c>
      <c r="I128" s="110" t="str">
        <f t="shared" si="25"/>
        <v/>
      </c>
      <c r="J128" s="110" t="str">
        <f t="shared" si="25"/>
        <v/>
      </c>
      <c r="K128" s="110" t="str">
        <f t="shared" si="25"/>
        <v/>
      </c>
      <c r="L128" s="110" t="str">
        <f t="shared" si="25"/>
        <v/>
      </c>
      <c r="M128" s="110" t="str">
        <f t="shared" si="25"/>
        <v/>
      </c>
      <c r="N128" s="110" t="str">
        <f>IF(N116="","",N116-SUM(N117:N124))</f>
        <v/>
      </c>
      <c r="O128" s="110">
        <f>IF(O116="","",O116-SUM(O117:O124))</f>
        <v>31172190</v>
      </c>
    </row>
    <row r="129" spans="1:15" ht="16.5" customHeight="1" thickBot="1" x14ac:dyDescent="0.2">
      <c r="A129" s="248"/>
      <c r="B129" s="170" t="s">
        <v>160</v>
      </c>
      <c r="C129" s="112">
        <f>IF(C116="","",IF(C116=0,"―     ",C128/C116))</f>
        <v>0.34008778325123151</v>
      </c>
      <c r="D129" s="112">
        <v>0.30251522167487682</v>
      </c>
      <c r="E129" s="112">
        <v>0.27664132310642375</v>
      </c>
      <c r="F129" s="112">
        <v>0.29722833897499851</v>
      </c>
      <c r="G129" s="112">
        <v>0.29244132310642379</v>
      </c>
      <c r="H129" s="112" t="str">
        <f t="shared" ref="H129:N129" si="26">IF(H116="","",IF(H116=0,"―     ",H128/H116))</f>
        <v/>
      </c>
      <c r="I129" s="112" t="str">
        <f t="shared" si="26"/>
        <v/>
      </c>
      <c r="J129" s="112" t="str">
        <f t="shared" si="26"/>
        <v/>
      </c>
      <c r="K129" s="112" t="str">
        <f t="shared" si="26"/>
        <v/>
      </c>
      <c r="L129" s="112" t="str">
        <f t="shared" si="26"/>
        <v/>
      </c>
      <c r="M129" s="112" t="str">
        <f t="shared" si="26"/>
        <v/>
      </c>
      <c r="N129" s="112" t="str">
        <f t="shared" si="26"/>
        <v/>
      </c>
      <c r="O129" s="112">
        <f>IF(O116="","",IF(O116=0,"―     ",O128/O116))</f>
        <v>0.30156299655360058</v>
      </c>
    </row>
    <row r="130" spans="1:15" ht="16.5" customHeight="1" x14ac:dyDescent="0.15">
      <c r="A130" s="259"/>
      <c r="B130" s="164" t="s">
        <v>21</v>
      </c>
      <c r="C130" s="102">
        <v>333680</v>
      </c>
      <c r="D130" s="102">
        <v>345015</v>
      </c>
      <c r="E130" s="102">
        <v>384750</v>
      </c>
      <c r="F130" s="102">
        <v>392500</v>
      </c>
      <c r="G130" s="102">
        <v>358750</v>
      </c>
      <c r="H130" s="102"/>
      <c r="I130" s="102"/>
      <c r="J130" s="102"/>
      <c r="K130" s="102"/>
      <c r="L130" s="102"/>
      <c r="M130" s="102"/>
      <c r="N130" s="102"/>
      <c r="O130" s="103">
        <f>SUM(C130:N130)</f>
        <v>1814695</v>
      </c>
    </row>
    <row r="131" spans="1:15" ht="16.5" customHeight="1" x14ac:dyDescent="0.15">
      <c r="A131" s="247"/>
      <c r="B131" s="166" t="s">
        <v>155</v>
      </c>
      <c r="C131" s="105">
        <v>198451</v>
      </c>
      <c r="D131" s="105">
        <v>209251</v>
      </c>
      <c r="E131" s="105">
        <v>221200</v>
      </c>
      <c r="F131" s="105">
        <v>226100</v>
      </c>
      <c r="G131" s="105">
        <v>217000</v>
      </c>
      <c r="H131" s="105"/>
      <c r="I131" s="105"/>
      <c r="J131" s="105"/>
      <c r="K131" s="105"/>
      <c r="L131" s="105"/>
      <c r="M131" s="105"/>
      <c r="N131" s="105"/>
      <c r="O131" s="105">
        <f t="shared" ref="O131:O141" si="27">SUM(C131:N131)</f>
        <v>1072002</v>
      </c>
    </row>
    <row r="132" spans="1:15" ht="16.5" customHeight="1" x14ac:dyDescent="0.15">
      <c r="A132" s="247"/>
      <c r="B132" s="166" t="s">
        <v>156</v>
      </c>
      <c r="C132" s="105">
        <v>0</v>
      </c>
      <c r="D132" s="105">
        <v>0</v>
      </c>
      <c r="E132" s="105">
        <v>0</v>
      </c>
      <c r="F132" s="105">
        <v>0</v>
      </c>
      <c r="G132" s="105">
        <v>0</v>
      </c>
      <c r="H132" s="105"/>
      <c r="I132" s="105"/>
      <c r="J132" s="105"/>
      <c r="K132" s="105"/>
      <c r="L132" s="105"/>
      <c r="M132" s="105"/>
      <c r="N132" s="105"/>
      <c r="O132" s="105">
        <f t="shared" si="27"/>
        <v>0</v>
      </c>
    </row>
    <row r="133" spans="1:15" ht="16.5" customHeight="1" x14ac:dyDescent="0.15">
      <c r="A133" s="247"/>
      <c r="B133" s="166" t="s">
        <v>26</v>
      </c>
      <c r="C133" s="105">
        <v>0</v>
      </c>
      <c r="D133" s="105">
        <v>0</v>
      </c>
      <c r="E133" s="105">
        <v>0</v>
      </c>
      <c r="F133" s="105">
        <v>0</v>
      </c>
      <c r="G133" s="105">
        <v>0</v>
      </c>
      <c r="H133" s="105"/>
      <c r="I133" s="105"/>
      <c r="J133" s="105"/>
      <c r="K133" s="105"/>
      <c r="L133" s="105"/>
      <c r="M133" s="105"/>
      <c r="N133" s="105"/>
      <c r="O133" s="105">
        <f t="shared" si="27"/>
        <v>0</v>
      </c>
    </row>
    <row r="134" spans="1:15" ht="16.5" customHeight="1" x14ac:dyDescent="0.15">
      <c r="A134" s="247"/>
      <c r="B134" s="166" t="s">
        <v>66</v>
      </c>
      <c r="C134" s="106">
        <v>43044</v>
      </c>
      <c r="D134" s="105">
        <v>40090</v>
      </c>
      <c r="E134" s="105">
        <v>48125</v>
      </c>
      <c r="F134" s="105">
        <v>59500</v>
      </c>
      <c r="G134" s="105">
        <v>34125</v>
      </c>
      <c r="H134" s="105"/>
      <c r="I134" s="106"/>
      <c r="J134" s="106"/>
      <c r="K134" s="106"/>
      <c r="L134" s="106"/>
      <c r="M134" s="106"/>
      <c r="N134" s="106"/>
      <c r="O134" s="105">
        <f t="shared" si="27"/>
        <v>224884</v>
      </c>
    </row>
    <row r="135" spans="1:15" ht="16.5" customHeight="1" x14ac:dyDescent="0.15">
      <c r="A135" s="247"/>
      <c r="B135" s="166" t="s">
        <v>22</v>
      </c>
      <c r="C135" s="105">
        <v>12072</v>
      </c>
      <c r="D135" s="105">
        <v>12072</v>
      </c>
      <c r="E135" s="105">
        <v>12072</v>
      </c>
      <c r="F135" s="105">
        <v>12072</v>
      </c>
      <c r="G135" s="105">
        <v>12072</v>
      </c>
      <c r="H135" s="105"/>
      <c r="I135" s="105"/>
      <c r="J135" s="105"/>
      <c r="K135" s="105"/>
      <c r="L135" s="105"/>
      <c r="M135" s="105"/>
      <c r="N135" s="105"/>
      <c r="O135" s="105">
        <f t="shared" si="27"/>
        <v>60360</v>
      </c>
    </row>
    <row r="136" spans="1:15" ht="16.5" customHeight="1" x14ac:dyDescent="0.15">
      <c r="A136" s="247"/>
      <c r="B136" s="166" t="s">
        <v>67</v>
      </c>
      <c r="C136" s="105">
        <v>1860</v>
      </c>
      <c r="D136" s="105">
        <v>1860</v>
      </c>
      <c r="E136" s="105">
        <v>1860</v>
      </c>
      <c r="F136" s="105">
        <v>1860</v>
      </c>
      <c r="G136" s="105">
        <v>1860</v>
      </c>
      <c r="H136" s="105"/>
      <c r="I136" s="105"/>
      <c r="J136" s="105"/>
      <c r="K136" s="105"/>
      <c r="L136" s="105"/>
      <c r="M136" s="105"/>
      <c r="N136" s="105"/>
      <c r="O136" s="105">
        <f t="shared" si="27"/>
        <v>9300</v>
      </c>
    </row>
    <row r="137" spans="1:15" ht="16.5" customHeight="1" x14ac:dyDescent="0.15">
      <c r="A137" s="247"/>
      <c r="B137" s="166" t="s">
        <v>23</v>
      </c>
      <c r="C137" s="105">
        <v>20119</v>
      </c>
      <c r="D137" s="105">
        <v>20119</v>
      </c>
      <c r="E137" s="105">
        <v>20119</v>
      </c>
      <c r="F137" s="105">
        <v>20119</v>
      </c>
      <c r="G137" s="105">
        <v>20119</v>
      </c>
      <c r="H137" s="105"/>
      <c r="I137" s="105"/>
      <c r="J137" s="105"/>
      <c r="K137" s="105"/>
      <c r="L137" s="105"/>
      <c r="M137" s="105"/>
      <c r="N137" s="105"/>
      <c r="O137" s="105">
        <f t="shared" si="27"/>
        <v>100595</v>
      </c>
    </row>
    <row r="138" spans="1:15" ht="16.5" customHeight="1" x14ac:dyDescent="0.15">
      <c r="A138" s="247"/>
      <c r="B138" s="166" t="s">
        <v>157</v>
      </c>
      <c r="C138" s="105">
        <v>1911</v>
      </c>
      <c r="D138" s="105">
        <v>2120</v>
      </c>
      <c r="E138" s="105">
        <v>2290</v>
      </c>
      <c r="F138" s="105">
        <v>2428</v>
      </c>
      <c r="G138" s="105">
        <v>2135</v>
      </c>
      <c r="H138" s="105"/>
      <c r="I138" s="105"/>
      <c r="J138" s="105"/>
      <c r="K138" s="105"/>
      <c r="L138" s="105"/>
      <c r="M138" s="105"/>
      <c r="N138" s="105"/>
      <c r="O138" s="105">
        <f t="shared" si="27"/>
        <v>10884</v>
      </c>
    </row>
    <row r="139" spans="1:15" ht="16.5" customHeight="1" x14ac:dyDescent="0.15">
      <c r="A139" s="247"/>
      <c r="B139" s="166" t="s">
        <v>158</v>
      </c>
      <c r="C139" s="105">
        <v>241495</v>
      </c>
      <c r="D139" s="105">
        <v>249341</v>
      </c>
      <c r="E139" s="105">
        <v>269325</v>
      </c>
      <c r="F139" s="105">
        <v>285600</v>
      </c>
      <c r="G139" s="105">
        <v>251125</v>
      </c>
      <c r="H139" s="105"/>
      <c r="I139" s="105"/>
      <c r="J139" s="105"/>
      <c r="K139" s="105"/>
      <c r="L139" s="105"/>
      <c r="M139" s="105"/>
      <c r="N139" s="105"/>
      <c r="O139" s="105">
        <f t="shared" si="27"/>
        <v>1296886</v>
      </c>
    </row>
    <row r="140" spans="1:15" ht="16.5" customHeight="1" x14ac:dyDescent="0.15">
      <c r="A140" s="247"/>
      <c r="B140" s="171"/>
      <c r="C140" s="107"/>
      <c r="D140" s="107">
        <v>1</v>
      </c>
      <c r="E140" s="107">
        <v>1</v>
      </c>
      <c r="F140" s="107">
        <v>1</v>
      </c>
      <c r="G140" s="107">
        <v>1</v>
      </c>
      <c r="H140" s="107"/>
      <c r="I140" s="107"/>
      <c r="J140" s="107"/>
      <c r="K140" s="107"/>
      <c r="L140" s="107"/>
      <c r="M140" s="107"/>
      <c r="N140" s="107"/>
      <c r="O140" s="107"/>
    </row>
    <row r="141" spans="1:15" ht="16.5" customHeight="1" thickBot="1" x14ac:dyDescent="0.2">
      <c r="A141" s="247"/>
      <c r="B141" s="171" t="s">
        <v>171</v>
      </c>
      <c r="C141" s="107">
        <v>1</v>
      </c>
      <c r="D141" s="107">
        <v>1</v>
      </c>
      <c r="E141" s="107">
        <v>0</v>
      </c>
      <c r="F141" s="107">
        <v>1</v>
      </c>
      <c r="G141" s="107">
        <v>0</v>
      </c>
      <c r="H141" s="107"/>
      <c r="I141" s="107"/>
      <c r="J141" s="107"/>
      <c r="K141" s="107"/>
      <c r="L141" s="107"/>
      <c r="M141" s="107"/>
      <c r="N141" s="107"/>
      <c r="O141" s="168">
        <f t="shared" si="27"/>
        <v>3</v>
      </c>
    </row>
    <row r="142" spans="1:15" ht="16.5" customHeight="1" thickTop="1" x14ac:dyDescent="0.15">
      <c r="A142" s="247"/>
      <c r="B142" s="169" t="s">
        <v>159</v>
      </c>
      <c r="C142" s="110">
        <f>IF(C130="","",C130-SUM(C131:C138))</f>
        <v>56223</v>
      </c>
      <c r="D142" s="110">
        <v>59503</v>
      </c>
      <c r="E142" s="110">
        <v>79084</v>
      </c>
      <c r="F142" s="110">
        <v>70421</v>
      </c>
      <c r="G142" s="110">
        <v>71439</v>
      </c>
      <c r="H142" s="110" t="str">
        <f t="shared" ref="H142:M142" si="28">IF(H130="","",H130-SUM(H131:H138))</f>
        <v/>
      </c>
      <c r="I142" s="110" t="str">
        <f t="shared" si="28"/>
        <v/>
      </c>
      <c r="J142" s="110" t="str">
        <f t="shared" si="28"/>
        <v/>
      </c>
      <c r="K142" s="110" t="str">
        <f t="shared" si="28"/>
        <v/>
      </c>
      <c r="L142" s="110" t="str">
        <f t="shared" si="28"/>
        <v/>
      </c>
      <c r="M142" s="110" t="str">
        <f t="shared" si="28"/>
        <v/>
      </c>
      <c r="N142" s="110" t="str">
        <f>IF(N130="","",N130-SUM(N131:N138))</f>
        <v/>
      </c>
      <c r="O142" s="110">
        <f>IF(O130="","",O130-SUM(O131:O138))</f>
        <v>336670</v>
      </c>
    </row>
    <row r="143" spans="1:15" ht="16.5" customHeight="1" thickBot="1" x14ac:dyDescent="0.2">
      <c r="A143" s="248"/>
      <c r="B143" s="170" t="s">
        <v>160</v>
      </c>
      <c r="C143" s="112">
        <f>IF(C130="","",IF(C130=0,"―     ",C142/C130))</f>
        <v>0.16849376648285783</v>
      </c>
      <c r="D143" s="112">
        <v>0.17246496529136415</v>
      </c>
      <c r="E143" s="112">
        <v>0.20554645873944119</v>
      </c>
      <c r="F143" s="112">
        <v>0.17941656050955415</v>
      </c>
      <c r="G143" s="112">
        <v>0.19913310104529616</v>
      </c>
      <c r="H143" s="112" t="str">
        <f t="shared" ref="H143:N143" si="29">IF(H130="","",IF(H130=0,"―     ",H142/H130))</f>
        <v/>
      </c>
      <c r="I143" s="112" t="str">
        <f t="shared" si="29"/>
        <v/>
      </c>
      <c r="J143" s="112" t="str">
        <f t="shared" si="29"/>
        <v/>
      </c>
      <c r="K143" s="112" t="str">
        <f t="shared" si="29"/>
        <v/>
      </c>
      <c r="L143" s="112" t="str">
        <f t="shared" si="29"/>
        <v/>
      </c>
      <c r="M143" s="112" t="str">
        <f t="shared" si="29"/>
        <v/>
      </c>
      <c r="N143" s="112" t="str">
        <f t="shared" si="29"/>
        <v/>
      </c>
      <c r="O143" s="112">
        <f>IF(O130="","",IF(O130=0,"―     ",O142/O130))</f>
        <v>0.18552428920562408</v>
      </c>
    </row>
    <row r="144" spans="1:15" ht="16.5" customHeight="1" x14ac:dyDescent="0.15">
      <c r="A144" s="259"/>
      <c r="B144" s="164" t="s">
        <v>21</v>
      </c>
      <c r="C144" s="102">
        <v>260418</v>
      </c>
      <c r="D144" s="102">
        <v>302280</v>
      </c>
      <c r="E144" s="102">
        <v>284431</v>
      </c>
      <c r="F144" s="102">
        <v>293461</v>
      </c>
      <c r="G144" s="102">
        <v>282837</v>
      </c>
      <c r="H144" s="102"/>
      <c r="I144" s="102"/>
      <c r="J144" s="102"/>
      <c r="K144" s="102"/>
      <c r="L144" s="102"/>
      <c r="M144" s="102"/>
      <c r="N144" s="102"/>
      <c r="O144" s="103">
        <f>SUM(C144:N144)</f>
        <v>1423427</v>
      </c>
    </row>
    <row r="145" spans="1:15" ht="16.5" customHeight="1" x14ac:dyDescent="0.15">
      <c r="A145" s="247"/>
      <c r="B145" s="166" t="s">
        <v>155</v>
      </c>
      <c r="C145" s="105">
        <v>178200</v>
      </c>
      <c r="D145" s="105">
        <v>199500</v>
      </c>
      <c r="E145" s="105">
        <v>189900</v>
      </c>
      <c r="F145" s="105">
        <v>171900</v>
      </c>
      <c r="G145" s="105">
        <v>189900</v>
      </c>
      <c r="H145" s="105"/>
      <c r="I145" s="105"/>
      <c r="J145" s="105"/>
      <c r="K145" s="105"/>
      <c r="L145" s="105"/>
      <c r="M145" s="105"/>
      <c r="N145" s="105"/>
      <c r="O145" s="105">
        <f t="shared" ref="O145:O155" si="30">SUM(C145:N145)</f>
        <v>929400</v>
      </c>
    </row>
    <row r="146" spans="1:15" ht="16.5" customHeight="1" x14ac:dyDescent="0.15">
      <c r="A146" s="247"/>
      <c r="B146" s="166" t="s">
        <v>173</v>
      </c>
      <c r="C146" s="105">
        <v>0</v>
      </c>
      <c r="D146" s="105">
        <v>0</v>
      </c>
      <c r="E146" s="105">
        <v>0</v>
      </c>
      <c r="F146" s="105">
        <v>0</v>
      </c>
      <c r="G146" s="105">
        <v>0</v>
      </c>
      <c r="H146" s="105"/>
      <c r="I146" s="105"/>
      <c r="J146" s="105"/>
      <c r="K146" s="105"/>
      <c r="L146" s="105"/>
      <c r="M146" s="105"/>
      <c r="N146" s="105"/>
      <c r="O146" s="105">
        <f t="shared" si="30"/>
        <v>0</v>
      </c>
    </row>
    <row r="147" spans="1:15" ht="16.5" customHeight="1" x14ac:dyDescent="0.15">
      <c r="A147" s="247"/>
      <c r="B147" s="166" t="s">
        <v>26</v>
      </c>
      <c r="C147" s="105">
        <v>1140</v>
      </c>
      <c r="D147" s="105">
        <v>1320</v>
      </c>
      <c r="E147" s="105">
        <v>1200</v>
      </c>
      <c r="F147" s="105">
        <v>1140</v>
      </c>
      <c r="G147" s="105">
        <v>1200</v>
      </c>
      <c r="H147" s="105"/>
      <c r="I147" s="105"/>
      <c r="J147" s="105"/>
      <c r="K147" s="105"/>
      <c r="L147" s="105"/>
      <c r="M147" s="105"/>
      <c r="N147" s="105"/>
      <c r="O147" s="105">
        <f t="shared" si="30"/>
        <v>6000</v>
      </c>
    </row>
    <row r="148" spans="1:15" ht="16.5" customHeight="1" x14ac:dyDescent="0.15">
      <c r="A148" s="247"/>
      <c r="B148" s="166" t="s">
        <v>66</v>
      </c>
      <c r="C148" s="106">
        <v>5625</v>
      </c>
      <c r="D148" s="105">
        <v>13875</v>
      </c>
      <c r="E148" s="105">
        <v>10875</v>
      </c>
      <c r="F148" s="105">
        <v>35250</v>
      </c>
      <c r="G148" s="105">
        <v>9750</v>
      </c>
      <c r="H148" s="105"/>
      <c r="I148" s="106"/>
      <c r="J148" s="106"/>
      <c r="K148" s="106"/>
      <c r="L148" s="106"/>
      <c r="M148" s="106"/>
      <c r="N148" s="106"/>
      <c r="O148" s="105">
        <f t="shared" si="30"/>
        <v>75375</v>
      </c>
    </row>
    <row r="149" spans="1:15" ht="16.5" customHeight="1" x14ac:dyDescent="0.15">
      <c r="A149" s="247"/>
      <c r="B149" s="166" t="s">
        <v>22</v>
      </c>
      <c r="C149" s="105">
        <v>9557</v>
      </c>
      <c r="D149" s="105">
        <v>9557</v>
      </c>
      <c r="E149" s="105">
        <v>9557</v>
      </c>
      <c r="F149" s="105">
        <v>9557</v>
      </c>
      <c r="G149" s="105">
        <v>9557</v>
      </c>
      <c r="H149" s="105"/>
      <c r="I149" s="105"/>
      <c r="J149" s="105"/>
      <c r="K149" s="105"/>
      <c r="L149" s="105"/>
      <c r="M149" s="105"/>
      <c r="N149" s="105"/>
      <c r="O149" s="105">
        <f t="shared" si="30"/>
        <v>47785</v>
      </c>
    </row>
    <row r="150" spans="1:15" ht="16.5" customHeight="1" x14ac:dyDescent="0.15">
      <c r="A150" s="247"/>
      <c r="B150" s="166" t="s">
        <v>67</v>
      </c>
      <c r="C150" s="105">
        <v>0</v>
      </c>
      <c r="D150" s="105">
        <v>0</v>
      </c>
      <c r="E150" s="105">
        <v>0</v>
      </c>
      <c r="F150" s="105">
        <v>0</v>
      </c>
      <c r="G150" s="105">
        <v>0</v>
      </c>
      <c r="H150" s="105"/>
      <c r="I150" s="105"/>
      <c r="J150" s="105"/>
      <c r="K150" s="105"/>
      <c r="L150" s="105"/>
      <c r="M150" s="105"/>
      <c r="N150" s="105"/>
      <c r="O150" s="105">
        <f t="shared" si="30"/>
        <v>0</v>
      </c>
    </row>
    <row r="151" spans="1:15" ht="16.5" customHeight="1" x14ac:dyDescent="0.15">
      <c r="A151" s="247"/>
      <c r="B151" s="166" t="s">
        <v>23</v>
      </c>
      <c r="C151" s="105">
        <v>15928</v>
      </c>
      <c r="D151" s="105">
        <v>15928</v>
      </c>
      <c r="E151" s="105">
        <v>15928</v>
      </c>
      <c r="F151" s="105">
        <v>15928</v>
      </c>
      <c r="G151" s="105">
        <v>15928</v>
      </c>
      <c r="H151" s="105"/>
      <c r="I151" s="105"/>
      <c r="J151" s="105"/>
      <c r="K151" s="105"/>
      <c r="L151" s="105"/>
      <c r="M151" s="105"/>
      <c r="N151" s="105"/>
      <c r="O151" s="105">
        <f t="shared" si="30"/>
        <v>79640</v>
      </c>
    </row>
    <row r="152" spans="1:15" ht="16.5" customHeight="1" x14ac:dyDescent="0.15">
      <c r="A152" s="247"/>
      <c r="B152" s="166" t="s">
        <v>157</v>
      </c>
      <c r="C152" s="105">
        <v>1465</v>
      </c>
      <c r="D152" s="105">
        <v>1824</v>
      </c>
      <c r="E152" s="105">
        <v>1717</v>
      </c>
      <c r="F152" s="105">
        <v>1770</v>
      </c>
      <c r="G152" s="105">
        <v>1707</v>
      </c>
      <c r="H152" s="105"/>
      <c r="I152" s="105"/>
      <c r="J152" s="105"/>
      <c r="K152" s="105"/>
      <c r="L152" s="105"/>
      <c r="M152" s="105"/>
      <c r="N152" s="105"/>
      <c r="O152" s="105">
        <f t="shared" si="30"/>
        <v>8483</v>
      </c>
    </row>
    <row r="153" spans="1:15" ht="16.5" customHeight="1" x14ac:dyDescent="0.15">
      <c r="A153" s="247"/>
      <c r="B153" s="166" t="s">
        <v>158</v>
      </c>
      <c r="C153" s="105">
        <v>184965</v>
      </c>
      <c r="D153" s="105">
        <v>214695</v>
      </c>
      <c r="E153" s="105">
        <v>201975</v>
      </c>
      <c r="F153" s="105">
        <v>208290</v>
      </c>
      <c r="G153" s="105">
        <v>200850</v>
      </c>
      <c r="H153" s="105"/>
      <c r="I153" s="105"/>
      <c r="J153" s="105"/>
      <c r="K153" s="105"/>
      <c r="L153" s="105"/>
      <c r="M153" s="105"/>
      <c r="N153" s="105"/>
      <c r="O153" s="105">
        <f t="shared" si="30"/>
        <v>1010775</v>
      </c>
    </row>
    <row r="154" spans="1:15" ht="16.5" customHeight="1" x14ac:dyDescent="0.15">
      <c r="A154" s="247"/>
      <c r="B154" s="171"/>
      <c r="C154" s="107"/>
      <c r="D154" s="107">
        <v>1</v>
      </c>
      <c r="E154" s="107">
        <v>1</v>
      </c>
      <c r="F154" s="107">
        <v>1</v>
      </c>
      <c r="G154" s="107">
        <v>1</v>
      </c>
      <c r="H154" s="107"/>
      <c r="I154" s="107"/>
      <c r="J154" s="107"/>
      <c r="K154" s="107"/>
      <c r="L154" s="107"/>
      <c r="M154" s="107"/>
      <c r="N154" s="107"/>
      <c r="O154" s="107"/>
    </row>
    <row r="155" spans="1:15" ht="16.5" customHeight="1" thickBot="1" x14ac:dyDescent="0.2">
      <c r="A155" s="247"/>
      <c r="B155" s="171" t="s">
        <v>174</v>
      </c>
      <c r="C155" s="107">
        <v>0</v>
      </c>
      <c r="D155" s="107">
        <v>0</v>
      </c>
      <c r="E155" s="107">
        <v>0</v>
      </c>
      <c r="F155" s="107">
        <v>0</v>
      </c>
      <c r="G155" s="107">
        <v>0</v>
      </c>
      <c r="H155" s="107"/>
      <c r="I155" s="107"/>
      <c r="J155" s="107"/>
      <c r="K155" s="107"/>
      <c r="L155" s="107"/>
      <c r="M155" s="107"/>
      <c r="N155" s="107"/>
      <c r="O155" s="168">
        <f t="shared" si="30"/>
        <v>0</v>
      </c>
    </row>
    <row r="156" spans="1:15" ht="16.5" customHeight="1" thickTop="1" x14ac:dyDescent="0.15">
      <c r="A156" s="247"/>
      <c r="B156" s="169" t="s">
        <v>159</v>
      </c>
      <c r="C156" s="110">
        <f>IF(C144="","",C144-SUM(C145:C152))</f>
        <v>48503</v>
      </c>
      <c r="D156" s="110">
        <v>60276</v>
      </c>
      <c r="E156" s="110">
        <v>55254</v>
      </c>
      <c r="F156" s="110">
        <v>57916</v>
      </c>
      <c r="G156" s="110">
        <v>54795</v>
      </c>
      <c r="H156" s="110" t="str">
        <f t="shared" ref="H156:M156" si="31">IF(H144="","",H144-SUM(H145:H152))</f>
        <v/>
      </c>
      <c r="I156" s="110" t="str">
        <f t="shared" si="31"/>
        <v/>
      </c>
      <c r="J156" s="110" t="str">
        <f t="shared" si="31"/>
        <v/>
      </c>
      <c r="K156" s="110" t="str">
        <f t="shared" si="31"/>
        <v/>
      </c>
      <c r="L156" s="110" t="str">
        <f t="shared" si="31"/>
        <v/>
      </c>
      <c r="M156" s="110" t="str">
        <f t="shared" si="31"/>
        <v/>
      </c>
      <c r="N156" s="110" t="str">
        <f>IF(N144="","",N144-SUM(N145:N152))</f>
        <v/>
      </c>
      <c r="O156" s="110">
        <f>IF(O144="","",O144-SUM(O145:O152))</f>
        <v>276744</v>
      </c>
    </row>
    <row r="157" spans="1:15" ht="16.5" customHeight="1" thickBot="1" x14ac:dyDescent="0.2">
      <c r="A157" s="248"/>
      <c r="B157" s="170" t="s">
        <v>160</v>
      </c>
      <c r="C157" s="112">
        <f>IF(C144="","",IF(C144=0,"―     ",C156/C144))</f>
        <v>0.18625056639710005</v>
      </c>
      <c r="D157" s="112">
        <v>0.19940452560539898</v>
      </c>
      <c r="E157" s="112">
        <v>0.19426152564242294</v>
      </c>
      <c r="F157" s="112">
        <v>0.197355014806056</v>
      </c>
      <c r="G157" s="112">
        <v>0.1937334931426935</v>
      </c>
      <c r="H157" s="112" t="str">
        <f t="shared" ref="H157:N157" si="32">IF(H144="","",IF(H144=0,"―     ",H156/H144))</f>
        <v/>
      </c>
      <c r="I157" s="112" t="str">
        <f t="shared" si="32"/>
        <v/>
      </c>
      <c r="J157" s="112" t="str">
        <f t="shared" si="32"/>
        <v/>
      </c>
      <c r="K157" s="112" t="str">
        <f t="shared" si="32"/>
        <v/>
      </c>
      <c r="L157" s="112" t="str">
        <f t="shared" si="32"/>
        <v/>
      </c>
      <c r="M157" s="112" t="str">
        <f t="shared" si="32"/>
        <v/>
      </c>
      <c r="N157" s="112" t="str">
        <f t="shared" si="32"/>
        <v/>
      </c>
      <c r="O157" s="112">
        <f>IF(O144="","",IF(O144=0,"―     ",O156/O144))</f>
        <v>0.19442092920817156</v>
      </c>
    </row>
    <row r="158" spans="1:15" ht="16.5" customHeight="1" x14ac:dyDescent="0.15">
      <c r="A158" s="257"/>
      <c r="B158" s="164" t="s">
        <v>21</v>
      </c>
      <c r="C158" s="102">
        <v>219750</v>
      </c>
      <c r="D158" s="102">
        <v>228281</v>
      </c>
      <c r="E158" s="102">
        <v>226500</v>
      </c>
      <c r="F158" s="102">
        <v>250500</v>
      </c>
      <c r="G158" s="102">
        <v>247593</v>
      </c>
      <c r="H158" s="102"/>
      <c r="I158" s="102"/>
      <c r="J158" s="102"/>
      <c r="K158" s="102"/>
      <c r="L158" s="102"/>
      <c r="M158" s="102"/>
      <c r="N158" s="102"/>
      <c r="O158" s="103">
        <f>SUM(C158:N158)</f>
        <v>1172624</v>
      </c>
    </row>
    <row r="159" spans="1:15" ht="16.5" customHeight="1" x14ac:dyDescent="0.15">
      <c r="A159" s="247"/>
      <c r="B159" s="166" t="s">
        <v>155</v>
      </c>
      <c r="C159" s="105">
        <v>129675</v>
      </c>
      <c r="D159" s="105">
        <v>141551</v>
      </c>
      <c r="E159" s="105">
        <v>152400</v>
      </c>
      <c r="F159" s="105">
        <v>157920</v>
      </c>
      <c r="G159" s="105">
        <v>150960</v>
      </c>
      <c r="H159" s="105"/>
      <c r="I159" s="105"/>
      <c r="J159" s="105"/>
      <c r="K159" s="105"/>
      <c r="L159" s="105"/>
      <c r="M159" s="105"/>
      <c r="N159" s="105"/>
      <c r="O159" s="105">
        <f t="shared" ref="O159:O169" si="33">SUM(C159:N159)</f>
        <v>732506</v>
      </c>
    </row>
    <row r="160" spans="1:15" ht="16.5" customHeight="1" x14ac:dyDescent="0.15">
      <c r="A160" s="247"/>
      <c r="B160" s="166" t="s">
        <v>156</v>
      </c>
      <c r="C160" s="105">
        <v>0</v>
      </c>
      <c r="D160" s="105">
        <v>0</v>
      </c>
      <c r="E160" s="105">
        <v>0</v>
      </c>
      <c r="F160" s="105">
        <v>0</v>
      </c>
      <c r="G160" s="105">
        <v>0</v>
      </c>
      <c r="H160" s="105"/>
      <c r="I160" s="105"/>
      <c r="J160" s="105"/>
      <c r="K160" s="105"/>
      <c r="L160" s="105"/>
      <c r="M160" s="105"/>
      <c r="N160" s="105"/>
      <c r="O160" s="105">
        <f t="shared" si="33"/>
        <v>0</v>
      </c>
    </row>
    <row r="161" spans="1:15" ht="16.5" customHeight="1" x14ac:dyDescent="0.15">
      <c r="A161" s="247"/>
      <c r="B161" s="166" t="s">
        <v>26</v>
      </c>
      <c r="C161" s="105">
        <v>23940</v>
      </c>
      <c r="D161" s="105">
        <v>23940</v>
      </c>
      <c r="E161" s="105">
        <v>25200</v>
      </c>
      <c r="F161" s="105">
        <v>26460</v>
      </c>
      <c r="G161" s="105">
        <v>25200</v>
      </c>
      <c r="H161" s="105"/>
      <c r="I161" s="105"/>
      <c r="J161" s="105"/>
      <c r="K161" s="105"/>
      <c r="L161" s="105"/>
      <c r="M161" s="105"/>
      <c r="N161" s="105"/>
      <c r="O161" s="105">
        <f t="shared" si="33"/>
        <v>124740</v>
      </c>
    </row>
    <row r="162" spans="1:15" ht="16.5" customHeight="1" x14ac:dyDescent="0.15">
      <c r="A162" s="247"/>
      <c r="B162" s="166" t="s">
        <v>66</v>
      </c>
      <c r="C162" s="106">
        <v>9504</v>
      </c>
      <c r="D162" s="105">
        <v>10395</v>
      </c>
      <c r="E162" s="105">
        <v>0</v>
      </c>
      <c r="F162" s="105">
        <v>2400</v>
      </c>
      <c r="G162" s="105">
        <v>7500</v>
      </c>
      <c r="H162" s="105"/>
      <c r="I162" s="106"/>
      <c r="J162" s="106"/>
      <c r="K162" s="106"/>
      <c r="L162" s="106"/>
      <c r="M162" s="106"/>
      <c r="N162" s="106"/>
      <c r="O162" s="105">
        <f t="shared" si="33"/>
        <v>29799</v>
      </c>
    </row>
    <row r="163" spans="1:15" ht="16.5" customHeight="1" x14ac:dyDescent="0.15">
      <c r="A163" s="247"/>
      <c r="B163" s="166" t="s">
        <v>22</v>
      </c>
      <c r="C163" s="105">
        <v>9557</v>
      </c>
      <c r="D163" s="105">
        <v>9557</v>
      </c>
      <c r="E163" s="105">
        <v>9557</v>
      </c>
      <c r="F163" s="105">
        <v>9557</v>
      </c>
      <c r="G163" s="105">
        <v>9557</v>
      </c>
      <c r="H163" s="105"/>
      <c r="I163" s="105"/>
      <c r="J163" s="105"/>
      <c r="K163" s="105"/>
      <c r="L163" s="105"/>
      <c r="M163" s="105"/>
      <c r="N163" s="105"/>
      <c r="O163" s="105">
        <f t="shared" si="33"/>
        <v>47785</v>
      </c>
    </row>
    <row r="164" spans="1:15" ht="16.5" customHeight="1" x14ac:dyDescent="0.15">
      <c r="A164" s="247"/>
      <c r="B164" s="166" t="s">
        <v>67</v>
      </c>
      <c r="C164" s="105">
        <v>0</v>
      </c>
      <c r="D164" s="105">
        <v>0</v>
      </c>
      <c r="E164" s="105">
        <v>0</v>
      </c>
      <c r="F164" s="105">
        <v>0</v>
      </c>
      <c r="G164" s="105">
        <v>0</v>
      </c>
      <c r="H164" s="105"/>
      <c r="I164" s="105"/>
      <c r="J164" s="105"/>
      <c r="K164" s="105"/>
      <c r="L164" s="105"/>
      <c r="M164" s="105"/>
      <c r="N164" s="105"/>
      <c r="O164" s="105">
        <f t="shared" si="33"/>
        <v>0</v>
      </c>
    </row>
    <row r="165" spans="1:15" ht="16.5" customHeight="1" x14ac:dyDescent="0.15">
      <c r="A165" s="247"/>
      <c r="B165" s="166" t="s">
        <v>23</v>
      </c>
      <c r="C165" s="105">
        <v>15928</v>
      </c>
      <c r="D165" s="105">
        <v>15928</v>
      </c>
      <c r="E165" s="105">
        <v>15928</v>
      </c>
      <c r="F165" s="105">
        <v>15928</v>
      </c>
      <c r="G165" s="105">
        <v>15928</v>
      </c>
      <c r="H165" s="105"/>
      <c r="I165" s="105"/>
      <c r="J165" s="105"/>
      <c r="K165" s="105"/>
      <c r="L165" s="105"/>
      <c r="M165" s="105"/>
      <c r="N165" s="105"/>
      <c r="O165" s="105">
        <f t="shared" si="33"/>
        <v>79640</v>
      </c>
    </row>
    <row r="166" spans="1:15" ht="16.5" customHeight="1" x14ac:dyDescent="0.15">
      <c r="A166" s="247"/>
      <c r="B166" s="166" t="s">
        <v>157</v>
      </c>
      <c r="C166" s="105">
        <v>1292</v>
      </c>
      <c r="D166" s="105">
        <v>1494</v>
      </c>
      <c r="E166" s="105">
        <v>1510</v>
      </c>
      <c r="F166" s="105">
        <v>1588</v>
      </c>
      <c r="G166" s="105">
        <v>1561</v>
      </c>
      <c r="H166" s="105"/>
      <c r="I166" s="105"/>
      <c r="J166" s="105"/>
      <c r="K166" s="105"/>
      <c r="L166" s="105"/>
      <c r="M166" s="105"/>
      <c r="N166" s="105"/>
      <c r="O166" s="105">
        <f t="shared" si="33"/>
        <v>7445</v>
      </c>
    </row>
    <row r="167" spans="1:15" ht="16.5" customHeight="1" x14ac:dyDescent="0.15">
      <c r="A167" s="247"/>
      <c r="B167" s="166" t="s">
        <v>158</v>
      </c>
      <c r="C167" s="105">
        <v>163119</v>
      </c>
      <c r="D167" s="105">
        <v>175886</v>
      </c>
      <c r="E167" s="105">
        <v>177600</v>
      </c>
      <c r="F167" s="105">
        <v>186780</v>
      </c>
      <c r="G167" s="105">
        <v>183660</v>
      </c>
      <c r="H167" s="105"/>
      <c r="I167" s="105"/>
      <c r="J167" s="105"/>
      <c r="K167" s="105"/>
      <c r="L167" s="105"/>
      <c r="M167" s="105"/>
      <c r="N167" s="105"/>
      <c r="O167" s="105">
        <f t="shared" si="33"/>
        <v>887045</v>
      </c>
    </row>
    <row r="168" spans="1:15" ht="16.5" customHeight="1" x14ac:dyDescent="0.15">
      <c r="A168" s="247"/>
      <c r="B168" s="171"/>
      <c r="C168" s="107"/>
      <c r="D168" s="107">
        <v>1</v>
      </c>
      <c r="E168" s="107">
        <v>1</v>
      </c>
      <c r="F168" s="107">
        <v>1</v>
      </c>
      <c r="G168" s="107">
        <v>1</v>
      </c>
      <c r="H168" s="107"/>
      <c r="I168" s="107"/>
      <c r="J168" s="107"/>
      <c r="K168" s="107"/>
      <c r="L168" s="107"/>
      <c r="M168" s="107"/>
      <c r="N168" s="107"/>
      <c r="O168" s="107"/>
    </row>
    <row r="169" spans="1:15" ht="16.5" customHeight="1" thickBot="1" x14ac:dyDescent="0.2">
      <c r="A169" s="247"/>
      <c r="B169" s="171" t="s">
        <v>171</v>
      </c>
      <c r="C169" s="107">
        <v>0</v>
      </c>
      <c r="D169" s="107">
        <v>1</v>
      </c>
      <c r="E169" s="107">
        <v>1</v>
      </c>
      <c r="F169" s="107">
        <v>0</v>
      </c>
      <c r="G169" s="107">
        <v>0</v>
      </c>
      <c r="H169" s="107"/>
      <c r="I169" s="107"/>
      <c r="J169" s="107"/>
      <c r="K169" s="107"/>
      <c r="L169" s="107"/>
      <c r="M169" s="107"/>
      <c r="N169" s="107"/>
      <c r="O169" s="168">
        <f t="shared" si="33"/>
        <v>2</v>
      </c>
    </row>
    <row r="170" spans="1:15" ht="16.5" customHeight="1" thickTop="1" x14ac:dyDescent="0.15">
      <c r="A170" s="247"/>
      <c r="B170" s="169" t="s">
        <v>159</v>
      </c>
      <c r="C170" s="110">
        <f>IF(C158="","",C158-SUM(C159:C166))</f>
        <v>29854</v>
      </c>
      <c r="D170" s="110">
        <v>25416</v>
      </c>
      <c r="E170" s="110">
        <v>21905</v>
      </c>
      <c r="F170" s="110">
        <v>36647</v>
      </c>
      <c r="G170" s="110">
        <v>36887</v>
      </c>
      <c r="H170" s="110" t="str">
        <f t="shared" ref="H170:M170" si="34">IF(H158="","",H158-SUM(H159:H166))</f>
        <v/>
      </c>
      <c r="I170" s="110" t="str">
        <f t="shared" si="34"/>
        <v/>
      </c>
      <c r="J170" s="110" t="str">
        <f t="shared" si="34"/>
        <v/>
      </c>
      <c r="K170" s="110" t="str">
        <f t="shared" si="34"/>
        <v/>
      </c>
      <c r="L170" s="110" t="str">
        <f t="shared" si="34"/>
        <v/>
      </c>
      <c r="M170" s="110" t="str">
        <f t="shared" si="34"/>
        <v/>
      </c>
      <c r="N170" s="110" t="str">
        <f>IF(N158="","",N158-SUM(N159:N166))</f>
        <v/>
      </c>
      <c r="O170" s="110">
        <f>IF(O158="","",O158-SUM(O159:O166))</f>
        <v>150709</v>
      </c>
    </row>
    <row r="171" spans="1:15" ht="16.5" customHeight="1" thickBot="1" x14ac:dyDescent="0.2">
      <c r="A171" s="248"/>
      <c r="B171" s="170" t="s">
        <v>160</v>
      </c>
      <c r="C171" s="112">
        <f>IF(C158="","",IF(C158=0,"―     ",C170/C158))</f>
        <v>0.13585437997724686</v>
      </c>
      <c r="D171" s="112">
        <v>0.11133646689825259</v>
      </c>
      <c r="E171" s="112">
        <v>9.6710816777041936E-2</v>
      </c>
      <c r="F171" s="112">
        <v>0.14629540918163672</v>
      </c>
      <c r="G171" s="112">
        <v>0.14898240257196285</v>
      </c>
      <c r="H171" s="112" t="str">
        <f t="shared" ref="H171:N171" si="35">IF(H158="","",IF(H158=0,"―     ",H170/H158))</f>
        <v/>
      </c>
      <c r="I171" s="112" t="str">
        <f t="shared" si="35"/>
        <v/>
      </c>
      <c r="J171" s="112" t="str">
        <f t="shared" si="35"/>
        <v/>
      </c>
      <c r="K171" s="112" t="str">
        <f t="shared" si="35"/>
        <v/>
      </c>
      <c r="L171" s="112" t="str">
        <f t="shared" si="35"/>
        <v/>
      </c>
      <c r="M171" s="112" t="str">
        <f t="shared" si="35"/>
        <v/>
      </c>
      <c r="N171" s="112" t="str">
        <f t="shared" si="35"/>
        <v/>
      </c>
      <c r="O171" s="112">
        <f>IF(O158="","",IF(O158=0,"―     ",O170/O158))</f>
        <v>0.12852286837042393</v>
      </c>
    </row>
    <row r="172" spans="1:15" ht="16.5" customHeight="1" x14ac:dyDescent="0.15">
      <c r="A172" s="257"/>
      <c r="B172" s="164" t="s">
        <v>21</v>
      </c>
      <c r="C172" s="102">
        <v>5187999</v>
      </c>
      <c r="D172" s="102">
        <v>5318588</v>
      </c>
      <c r="E172" s="102">
        <v>4202120</v>
      </c>
      <c r="F172" s="102"/>
      <c r="G172" s="102"/>
      <c r="H172" s="102"/>
      <c r="I172" s="102"/>
      <c r="J172" s="102"/>
      <c r="K172" s="102"/>
      <c r="L172" s="102"/>
      <c r="M172" s="102"/>
      <c r="N172" s="102"/>
      <c r="O172" s="103">
        <f>SUM(C172:N172)</f>
        <v>14708707</v>
      </c>
    </row>
    <row r="173" spans="1:15" ht="16.5" customHeight="1" x14ac:dyDescent="0.15">
      <c r="A173" s="247"/>
      <c r="B173" s="166" t="s">
        <v>155</v>
      </c>
      <c r="C173" s="105">
        <v>3446554</v>
      </c>
      <c r="D173" s="105">
        <v>3654026</v>
      </c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>
        <f t="shared" ref="O173:O183" si="36">SUM(C173:N173)</f>
        <v>7100580</v>
      </c>
    </row>
    <row r="174" spans="1:15" ht="16.5" customHeight="1" x14ac:dyDescent="0.15">
      <c r="A174" s="247"/>
      <c r="B174" s="166" t="s">
        <v>156</v>
      </c>
      <c r="C174" s="105">
        <v>0</v>
      </c>
      <c r="D174" s="105">
        <v>0</v>
      </c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>
        <f t="shared" si="36"/>
        <v>0</v>
      </c>
    </row>
    <row r="175" spans="1:15" ht="16.5" customHeight="1" x14ac:dyDescent="0.15">
      <c r="A175" s="247"/>
      <c r="B175" s="166" t="s">
        <v>26</v>
      </c>
      <c r="C175" s="105">
        <v>110680</v>
      </c>
      <c r="D175" s="105">
        <v>114850</v>
      </c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>
        <f t="shared" si="36"/>
        <v>225530</v>
      </c>
    </row>
    <row r="176" spans="1:15" ht="16.5" customHeight="1" x14ac:dyDescent="0.15">
      <c r="A176" s="247"/>
      <c r="B176" s="166" t="s">
        <v>66</v>
      </c>
      <c r="C176" s="106">
        <v>7700</v>
      </c>
      <c r="D176" s="105">
        <v>10211</v>
      </c>
      <c r="E176" s="105"/>
      <c r="F176" s="105"/>
      <c r="G176" s="105"/>
      <c r="H176" s="105"/>
      <c r="I176" s="106"/>
      <c r="J176" s="106"/>
      <c r="K176" s="106"/>
      <c r="L176" s="106"/>
      <c r="M176" s="106"/>
      <c r="N176" s="106"/>
      <c r="O176" s="105">
        <f t="shared" si="36"/>
        <v>17911</v>
      </c>
    </row>
    <row r="177" spans="1:15" ht="16.5" customHeight="1" x14ac:dyDescent="0.15">
      <c r="A177" s="247"/>
      <c r="B177" s="166" t="s">
        <v>22</v>
      </c>
      <c r="C177" s="105">
        <v>195268</v>
      </c>
      <c r="D177" s="105">
        <v>195268</v>
      </c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>
        <f t="shared" si="36"/>
        <v>390536</v>
      </c>
    </row>
    <row r="178" spans="1:15" ht="16.5" customHeight="1" x14ac:dyDescent="0.15">
      <c r="A178" s="247"/>
      <c r="B178" s="166" t="s">
        <v>67</v>
      </c>
      <c r="C178" s="105">
        <v>20514</v>
      </c>
      <c r="D178" s="105">
        <v>20514</v>
      </c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>
        <f t="shared" si="36"/>
        <v>41028</v>
      </c>
    </row>
    <row r="179" spans="1:15" ht="16.5" customHeight="1" x14ac:dyDescent="0.15">
      <c r="A179" s="247"/>
      <c r="B179" s="166" t="s">
        <v>23</v>
      </c>
      <c r="C179" s="105">
        <v>325425</v>
      </c>
      <c r="D179" s="105">
        <v>325425</v>
      </c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>
        <f t="shared" si="36"/>
        <v>650850</v>
      </c>
    </row>
    <row r="180" spans="1:15" ht="16.5" customHeight="1" x14ac:dyDescent="0.15">
      <c r="A180" s="247"/>
      <c r="B180" s="166" t="s">
        <v>157</v>
      </c>
      <c r="C180" s="105">
        <v>28218</v>
      </c>
      <c r="D180" s="105">
        <v>32121</v>
      </c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>
        <f t="shared" si="36"/>
        <v>60339</v>
      </c>
    </row>
    <row r="181" spans="1:15" ht="16.5" customHeight="1" x14ac:dyDescent="0.15">
      <c r="A181" s="247"/>
      <c r="B181" s="166" t="s">
        <v>158</v>
      </c>
      <c r="C181" s="105">
        <v>3564934</v>
      </c>
      <c r="D181" s="105">
        <v>3779087</v>
      </c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>
        <f t="shared" si="36"/>
        <v>7344021</v>
      </c>
    </row>
    <row r="182" spans="1:15" ht="16.5" customHeight="1" x14ac:dyDescent="0.15">
      <c r="A182" s="247"/>
      <c r="B182" s="171"/>
      <c r="C182" s="107"/>
      <c r="D182" s="107">
        <v>27</v>
      </c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</row>
    <row r="183" spans="1:15" ht="16.5" customHeight="1" thickBot="1" x14ac:dyDescent="0.2">
      <c r="A183" s="247"/>
      <c r="B183" s="171" t="s">
        <v>171</v>
      </c>
      <c r="C183" s="107">
        <v>25</v>
      </c>
      <c r="D183" s="107">
        <v>43</v>
      </c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68">
        <f t="shared" si="36"/>
        <v>68</v>
      </c>
    </row>
    <row r="184" spans="1:15" ht="16.5" customHeight="1" thickTop="1" x14ac:dyDescent="0.15">
      <c r="A184" s="247"/>
      <c r="B184" s="169" t="s">
        <v>159</v>
      </c>
      <c r="C184" s="110">
        <f>IF(C172="","",C172-SUM(C173:C180))</f>
        <v>1053640</v>
      </c>
      <c r="D184" s="110">
        <v>966173</v>
      </c>
      <c r="E184" s="110">
        <v>4202120</v>
      </c>
      <c r="F184" s="110" t="s">
        <v>181</v>
      </c>
      <c r="G184" s="110" t="s">
        <v>181</v>
      </c>
      <c r="H184" s="110" t="str">
        <f t="shared" ref="H184:M184" si="37">IF(H172="","",H172-SUM(H173:H180))</f>
        <v/>
      </c>
      <c r="I184" s="110" t="str">
        <f t="shared" si="37"/>
        <v/>
      </c>
      <c r="J184" s="110" t="str">
        <f t="shared" si="37"/>
        <v/>
      </c>
      <c r="K184" s="110" t="str">
        <f t="shared" si="37"/>
        <v/>
      </c>
      <c r="L184" s="110" t="str">
        <f t="shared" si="37"/>
        <v/>
      </c>
      <c r="M184" s="110" t="str">
        <f t="shared" si="37"/>
        <v/>
      </c>
      <c r="N184" s="110" t="str">
        <f>IF(N172="","",N172-SUM(N173:N180))</f>
        <v/>
      </c>
      <c r="O184" s="110">
        <f>IF(O172="","",O172-SUM(O173:O180))</f>
        <v>6221933</v>
      </c>
    </row>
    <row r="185" spans="1:15" ht="16.5" customHeight="1" thickBot="1" x14ac:dyDescent="0.2">
      <c r="A185" s="248"/>
      <c r="B185" s="170" t="s">
        <v>160</v>
      </c>
      <c r="C185" s="112">
        <f>IF(C172="","",IF(C172=0,"―     ",C184/C172))</f>
        <v>0.2030917893392038</v>
      </c>
      <c r="D185" s="112">
        <v>0.18165968110333044</v>
      </c>
      <c r="E185" s="112">
        <v>1</v>
      </c>
      <c r="F185" s="112" t="s">
        <v>181</v>
      </c>
      <c r="G185" s="112" t="s">
        <v>181</v>
      </c>
      <c r="H185" s="112" t="str">
        <f t="shared" ref="H185:N185" si="38">IF(H172="","",IF(H172=0,"―     ",H184/H172))</f>
        <v/>
      </c>
      <c r="I185" s="112" t="str">
        <f t="shared" si="38"/>
        <v/>
      </c>
      <c r="J185" s="112" t="str">
        <f t="shared" si="38"/>
        <v/>
      </c>
      <c r="K185" s="112" t="str">
        <f t="shared" si="38"/>
        <v/>
      </c>
      <c r="L185" s="112" t="str">
        <f t="shared" si="38"/>
        <v/>
      </c>
      <c r="M185" s="112" t="str">
        <f t="shared" si="38"/>
        <v/>
      </c>
      <c r="N185" s="112" t="str">
        <f t="shared" si="38"/>
        <v/>
      </c>
      <c r="O185" s="112">
        <f>IF(O172="","",IF(O172=0,"―     ",O184/O172))</f>
        <v>0.42301019389399763</v>
      </c>
    </row>
    <row r="186" spans="1:15" ht="16.5" customHeight="1" x14ac:dyDescent="0.15">
      <c r="A186" s="257"/>
      <c r="B186" s="164" t="s">
        <v>21</v>
      </c>
      <c r="C186" s="102">
        <v>680135</v>
      </c>
      <c r="D186" s="102">
        <v>707570</v>
      </c>
      <c r="E186" s="102">
        <v>239337</v>
      </c>
      <c r="F186" s="102">
        <v>238875</v>
      </c>
      <c r="G186" s="102">
        <v>234258</v>
      </c>
      <c r="H186" s="102"/>
      <c r="I186" s="102"/>
      <c r="J186" s="102"/>
      <c r="K186" s="102"/>
      <c r="L186" s="102"/>
      <c r="M186" s="102"/>
      <c r="N186" s="102"/>
      <c r="O186" s="103">
        <f>SUM(C186:N186)</f>
        <v>2100175</v>
      </c>
    </row>
    <row r="187" spans="1:15" ht="16.5" customHeight="1" x14ac:dyDescent="0.15">
      <c r="A187" s="247"/>
      <c r="B187" s="166" t="s">
        <v>155</v>
      </c>
      <c r="C187" s="105">
        <v>403200</v>
      </c>
      <c r="D187" s="105">
        <v>422550</v>
      </c>
      <c r="E187" s="105">
        <v>146475</v>
      </c>
      <c r="F187" s="105">
        <v>139500</v>
      </c>
      <c r="G187" s="105">
        <v>139500</v>
      </c>
      <c r="H187" s="105"/>
      <c r="I187" s="105"/>
      <c r="J187" s="105"/>
      <c r="K187" s="105"/>
      <c r="L187" s="105"/>
      <c r="M187" s="105"/>
      <c r="N187" s="105"/>
      <c r="O187" s="105">
        <f t="shared" ref="O187:O197" si="39">SUM(C187:N187)</f>
        <v>1251225</v>
      </c>
    </row>
    <row r="188" spans="1:15" ht="16.5" customHeight="1" x14ac:dyDescent="0.15">
      <c r="A188" s="247"/>
      <c r="B188" s="166" t="s">
        <v>156</v>
      </c>
      <c r="C188" s="105">
        <v>0</v>
      </c>
      <c r="D188" s="105">
        <v>0</v>
      </c>
      <c r="E188" s="105">
        <v>0</v>
      </c>
      <c r="F188" s="105">
        <v>0</v>
      </c>
      <c r="G188" s="105">
        <v>0</v>
      </c>
      <c r="H188" s="105"/>
      <c r="I188" s="105"/>
      <c r="J188" s="105"/>
      <c r="K188" s="105"/>
      <c r="L188" s="105"/>
      <c r="M188" s="105"/>
      <c r="N188" s="105"/>
      <c r="O188" s="105">
        <f t="shared" si="39"/>
        <v>0</v>
      </c>
    </row>
    <row r="189" spans="1:15" ht="16.5" customHeight="1" x14ac:dyDescent="0.15">
      <c r="A189" s="247"/>
      <c r="B189" s="166" t="s">
        <v>26</v>
      </c>
      <c r="C189" s="105">
        <v>10440</v>
      </c>
      <c r="D189" s="105">
        <v>11020</v>
      </c>
      <c r="E189" s="105">
        <v>2280</v>
      </c>
      <c r="F189" s="105">
        <v>2280</v>
      </c>
      <c r="G189" s="105">
        <v>2280</v>
      </c>
      <c r="H189" s="105"/>
      <c r="I189" s="105"/>
      <c r="J189" s="105"/>
      <c r="K189" s="105"/>
      <c r="L189" s="105"/>
      <c r="M189" s="105"/>
      <c r="N189" s="105"/>
      <c r="O189" s="105">
        <f t="shared" si="39"/>
        <v>28300</v>
      </c>
    </row>
    <row r="190" spans="1:15" ht="16.5" customHeight="1" x14ac:dyDescent="0.15">
      <c r="A190" s="247"/>
      <c r="B190" s="166" t="s">
        <v>66</v>
      </c>
      <c r="C190" s="106">
        <v>45845</v>
      </c>
      <c r="D190" s="105">
        <v>46126</v>
      </c>
      <c r="E190" s="105">
        <v>13219</v>
      </c>
      <c r="F190" s="105">
        <v>12938</v>
      </c>
      <c r="G190" s="105">
        <v>10125</v>
      </c>
      <c r="H190" s="105"/>
      <c r="I190" s="106"/>
      <c r="J190" s="106"/>
      <c r="K190" s="106"/>
      <c r="L190" s="106"/>
      <c r="M190" s="106"/>
      <c r="N190" s="106"/>
      <c r="O190" s="105">
        <f t="shared" si="39"/>
        <v>128253</v>
      </c>
    </row>
    <row r="191" spans="1:15" ht="16.5" customHeight="1" x14ac:dyDescent="0.15">
      <c r="A191" s="247"/>
      <c r="B191" s="166" t="s">
        <v>22</v>
      </c>
      <c r="C191" s="105">
        <v>24647</v>
      </c>
      <c r="D191" s="105">
        <v>24647</v>
      </c>
      <c r="E191" s="105">
        <v>8048</v>
      </c>
      <c r="F191" s="105">
        <v>8048</v>
      </c>
      <c r="G191" s="105">
        <v>8048</v>
      </c>
      <c r="H191" s="105"/>
      <c r="I191" s="105"/>
      <c r="J191" s="105"/>
      <c r="K191" s="105"/>
      <c r="L191" s="105"/>
      <c r="M191" s="105"/>
      <c r="N191" s="105"/>
      <c r="O191" s="105">
        <f t="shared" si="39"/>
        <v>73438</v>
      </c>
    </row>
    <row r="192" spans="1:15" ht="16.5" customHeight="1" x14ac:dyDescent="0.15">
      <c r="A192" s="247"/>
      <c r="B192" s="166" t="s">
        <v>67</v>
      </c>
      <c r="C192" s="105">
        <v>3797</v>
      </c>
      <c r="D192" s="105">
        <v>3797</v>
      </c>
      <c r="E192" s="105">
        <v>1240</v>
      </c>
      <c r="F192" s="105">
        <v>1240</v>
      </c>
      <c r="G192" s="105">
        <v>1240</v>
      </c>
      <c r="H192" s="105"/>
      <c r="I192" s="105"/>
      <c r="J192" s="105"/>
      <c r="K192" s="105"/>
      <c r="L192" s="105"/>
      <c r="M192" s="105"/>
      <c r="N192" s="105"/>
      <c r="O192" s="105">
        <f t="shared" si="39"/>
        <v>11314</v>
      </c>
    </row>
    <row r="193" spans="1:15" ht="16.5" customHeight="1" x14ac:dyDescent="0.15">
      <c r="A193" s="247"/>
      <c r="B193" s="166" t="s">
        <v>23</v>
      </c>
      <c r="C193" s="105">
        <v>41077</v>
      </c>
      <c r="D193" s="105">
        <v>41077</v>
      </c>
      <c r="E193" s="105">
        <v>13413</v>
      </c>
      <c r="F193" s="105">
        <v>13413</v>
      </c>
      <c r="G193" s="105">
        <v>13413</v>
      </c>
      <c r="H193" s="105"/>
      <c r="I193" s="105"/>
      <c r="J193" s="105"/>
      <c r="K193" s="105"/>
      <c r="L193" s="105"/>
      <c r="M193" s="105"/>
      <c r="N193" s="105"/>
      <c r="O193" s="105">
        <f t="shared" si="39"/>
        <v>122393</v>
      </c>
    </row>
    <row r="194" spans="1:15" ht="16.5" customHeight="1" x14ac:dyDescent="0.15">
      <c r="A194" s="247"/>
      <c r="B194" s="166" t="s">
        <v>157</v>
      </c>
      <c r="C194" s="105">
        <v>3639</v>
      </c>
      <c r="D194" s="105">
        <v>4076</v>
      </c>
      <c r="E194" s="105">
        <v>1377</v>
      </c>
      <c r="F194" s="105">
        <v>1316</v>
      </c>
      <c r="G194" s="105">
        <v>1292</v>
      </c>
      <c r="H194" s="105"/>
      <c r="I194" s="105"/>
      <c r="J194" s="105"/>
      <c r="K194" s="105"/>
      <c r="L194" s="105"/>
      <c r="M194" s="105"/>
      <c r="N194" s="105"/>
      <c r="O194" s="105">
        <f t="shared" si="39"/>
        <v>11700</v>
      </c>
    </row>
    <row r="195" spans="1:15" ht="16.5" customHeight="1" x14ac:dyDescent="0.15">
      <c r="A195" s="247"/>
      <c r="B195" s="166" t="s">
        <v>158</v>
      </c>
      <c r="C195" s="105">
        <v>459485</v>
      </c>
      <c r="D195" s="105">
        <v>479696</v>
      </c>
      <c r="E195" s="105">
        <v>161974</v>
      </c>
      <c r="F195" s="105">
        <v>154718</v>
      </c>
      <c r="G195" s="105">
        <v>151905</v>
      </c>
      <c r="H195" s="105"/>
      <c r="I195" s="105"/>
      <c r="J195" s="105"/>
      <c r="K195" s="105"/>
      <c r="L195" s="105"/>
      <c r="M195" s="105"/>
      <c r="N195" s="105"/>
      <c r="O195" s="105">
        <f t="shared" si="39"/>
        <v>1407778</v>
      </c>
    </row>
    <row r="196" spans="1:15" ht="16.5" customHeight="1" x14ac:dyDescent="0.15">
      <c r="A196" s="247"/>
      <c r="B196" s="171"/>
      <c r="C196" s="107"/>
      <c r="D196" s="107">
        <v>3</v>
      </c>
      <c r="E196" s="107">
        <v>1</v>
      </c>
      <c r="F196" s="107">
        <v>1</v>
      </c>
      <c r="G196" s="107">
        <v>1</v>
      </c>
      <c r="H196" s="107"/>
      <c r="I196" s="107"/>
      <c r="J196" s="107"/>
      <c r="K196" s="107"/>
      <c r="L196" s="107"/>
      <c r="M196" s="107"/>
      <c r="N196" s="107"/>
      <c r="O196" s="107"/>
    </row>
    <row r="197" spans="1:15" ht="16.5" customHeight="1" thickBot="1" x14ac:dyDescent="0.2">
      <c r="A197" s="247"/>
      <c r="B197" s="171" t="s">
        <v>171</v>
      </c>
      <c r="C197" s="107">
        <v>5</v>
      </c>
      <c r="D197" s="107">
        <v>5</v>
      </c>
      <c r="E197" s="107">
        <v>2</v>
      </c>
      <c r="F197" s="107">
        <v>1</v>
      </c>
      <c r="G197" s="107">
        <v>1</v>
      </c>
      <c r="H197" s="107"/>
      <c r="I197" s="107"/>
      <c r="J197" s="107"/>
      <c r="K197" s="107"/>
      <c r="L197" s="107"/>
      <c r="M197" s="107"/>
      <c r="N197" s="107"/>
      <c r="O197" s="168">
        <f t="shared" si="39"/>
        <v>14</v>
      </c>
    </row>
    <row r="198" spans="1:15" ht="16.5" customHeight="1" thickTop="1" x14ac:dyDescent="0.15">
      <c r="A198" s="247"/>
      <c r="B198" s="169" t="s">
        <v>159</v>
      </c>
      <c r="C198" s="110">
        <f>IF(C186="","",C186-SUM(C187:C194))</f>
        <v>147490</v>
      </c>
      <c r="D198" s="110">
        <v>154277</v>
      </c>
      <c r="E198" s="110">
        <v>53285</v>
      </c>
      <c r="F198" s="110">
        <v>60140</v>
      </c>
      <c r="G198" s="110">
        <v>58360</v>
      </c>
      <c r="H198" s="110" t="str">
        <f t="shared" ref="H198:M198" si="40">IF(H186="","",H186-SUM(H187:H194))</f>
        <v/>
      </c>
      <c r="I198" s="110" t="str">
        <f t="shared" si="40"/>
        <v/>
      </c>
      <c r="J198" s="110" t="str">
        <f t="shared" si="40"/>
        <v/>
      </c>
      <c r="K198" s="110" t="str">
        <f t="shared" si="40"/>
        <v/>
      </c>
      <c r="L198" s="110" t="str">
        <f t="shared" si="40"/>
        <v/>
      </c>
      <c r="M198" s="110" t="str">
        <f t="shared" si="40"/>
        <v/>
      </c>
      <c r="N198" s="110" t="str">
        <f>IF(N186="","",N186-SUM(N187:N194))</f>
        <v/>
      </c>
      <c r="O198" s="110">
        <f>IF(O186="","",O186-SUM(O187:O194))</f>
        <v>473552</v>
      </c>
    </row>
    <row r="199" spans="1:15" ht="16.5" customHeight="1" thickBot="1" x14ac:dyDescent="0.2">
      <c r="A199" s="248"/>
      <c r="B199" s="170" t="s">
        <v>160</v>
      </c>
      <c r="C199" s="112">
        <f>IF(C186="","",IF(C186=0,"―     ",C198/C186))</f>
        <v>0.21685400692509577</v>
      </c>
      <c r="D199" s="112">
        <v>0.21803779131393361</v>
      </c>
      <c r="E199" s="112">
        <v>0.22263586491014761</v>
      </c>
      <c r="F199" s="112">
        <v>0.25176347462061749</v>
      </c>
      <c r="G199" s="112">
        <v>0.24912703088048221</v>
      </c>
      <c r="H199" s="112" t="str">
        <f t="shared" ref="H199:N199" si="41">IF(H186="","",IF(H186=0,"―     ",H198/H186))</f>
        <v/>
      </c>
      <c r="I199" s="112" t="str">
        <f t="shared" si="41"/>
        <v/>
      </c>
      <c r="J199" s="112" t="str">
        <f t="shared" si="41"/>
        <v/>
      </c>
      <c r="K199" s="112" t="str">
        <f t="shared" si="41"/>
        <v/>
      </c>
      <c r="L199" s="112" t="str">
        <f t="shared" si="41"/>
        <v/>
      </c>
      <c r="M199" s="112" t="str">
        <f t="shared" si="41"/>
        <v/>
      </c>
      <c r="N199" s="112" t="str">
        <f t="shared" si="41"/>
        <v/>
      </c>
      <c r="O199" s="112">
        <f>IF(O186="","",IF(O186=0,"―     ",O198/O186))</f>
        <v>0.22548216220076897</v>
      </c>
    </row>
    <row r="200" spans="1:15" ht="16.5" customHeight="1" x14ac:dyDescent="0.15">
      <c r="A200" s="260"/>
      <c r="B200" s="164" t="s">
        <v>21</v>
      </c>
      <c r="C200" s="102">
        <v>435775</v>
      </c>
      <c r="D200" s="102">
        <v>491987</v>
      </c>
      <c r="E200" s="102">
        <v>473175</v>
      </c>
      <c r="F200" s="102">
        <v>447340</v>
      </c>
      <c r="G200" s="102">
        <v>435350</v>
      </c>
      <c r="H200" s="102"/>
      <c r="I200" s="102"/>
      <c r="J200" s="102"/>
      <c r="K200" s="102"/>
      <c r="L200" s="102"/>
      <c r="M200" s="102"/>
      <c r="N200" s="102"/>
      <c r="O200" s="103">
        <f>SUM(C200:N200)</f>
        <v>2283627</v>
      </c>
    </row>
    <row r="201" spans="1:15" ht="16.5" customHeight="1" x14ac:dyDescent="0.15">
      <c r="A201" s="261"/>
      <c r="B201" s="166" t="s">
        <v>155</v>
      </c>
      <c r="C201" s="105">
        <v>291855</v>
      </c>
      <c r="D201" s="105">
        <v>319613</v>
      </c>
      <c r="E201" s="105">
        <v>323285</v>
      </c>
      <c r="F201" s="105">
        <v>305330</v>
      </c>
      <c r="G201" s="105">
        <v>283770</v>
      </c>
      <c r="H201" s="105"/>
      <c r="I201" s="105"/>
      <c r="J201" s="105"/>
      <c r="K201" s="105"/>
      <c r="L201" s="105"/>
      <c r="M201" s="105"/>
      <c r="N201" s="105"/>
      <c r="O201" s="105">
        <f t="shared" ref="O201:O211" si="42">SUM(C201:N201)</f>
        <v>1523853</v>
      </c>
    </row>
    <row r="202" spans="1:15" ht="16.5" customHeight="1" x14ac:dyDescent="0.15">
      <c r="A202" s="261"/>
      <c r="B202" s="166" t="s">
        <v>156</v>
      </c>
      <c r="C202" s="105">
        <v>2000</v>
      </c>
      <c r="D202" s="105">
        <v>2000</v>
      </c>
      <c r="E202" s="105">
        <v>3000</v>
      </c>
      <c r="F202" s="105">
        <v>3000</v>
      </c>
      <c r="G202" s="105">
        <v>3000</v>
      </c>
      <c r="H202" s="105"/>
      <c r="I202" s="105"/>
      <c r="J202" s="105"/>
      <c r="K202" s="105"/>
      <c r="L202" s="105"/>
      <c r="M202" s="105"/>
      <c r="N202" s="105"/>
      <c r="O202" s="105">
        <f t="shared" si="42"/>
        <v>13000</v>
      </c>
    </row>
    <row r="203" spans="1:15" ht="16.5" customHeight="1" x14ac:dyDescent="0.15">
      <c r="A203" s="261"/>
      <c r="B203" s="166" t="s">
        <v>26</v>
      </c>
      <c r="C203" s="105">
        <v>14600</v>
      </c>
      <c r="D203" s="105">
        <v>17440</v>
      </c>
      <c r="E203" s="105">
        <v>16240</v>
      </c>
      <c r="F203" s="105">
        <v>15710</v>
      </c>
      <c r="G203" s="105">
        <v>15620</v>
      </c>
      <c r="H203" s="105"/>
      <c r="I203" s="105"/>
      <c r="J203" s="105"/>
      <c r="K203" s="105"/>
      <c r="L203" s="105"/>
      <c r="M203" s="105"/>
      <c r="N203" s="105"/>
      <c r="O203" s="105">
        <f t="shared" si="42"/>
        <v>79610</v>
      </c>
    </row>
    <row r="204" spans="1:15" ht="16.5" customHeight="1" x14ac:dyDescent="0.15">
      <c r="A204" s="261"/>
      <c r="B204" s="166" t="s">
        <v>66</v>
      </c>
      <c r="C204" s="106">
        <v>0</v>
      </c>
      <c r="D204" s="105">
        <v>0</v>
      </c>
      <c r="E204" s="105">
        <v>0</v>
      </c>
      <c r="F204" s="105">
        <v>1060</v>
      </c>
      <c r="G204" s="105">
        <v>0</v>
      </c>
      <c r="H204" s="105"/>
      <c r="I204" s="106"/>
      <c r="J204" s="106"/>
      <c r="K204" s="106"/>
      <c r="L204" s="106"/>
      <c r="M204" s="106"/>
      <c r="N204" s="106"/>
      <c r="O204" s="105">
        <f t="shared" si="42"/>
        <v>1060</v>
      </c>
    </row>
    <row r="205" spans="1:15" ht="16.5" customHeight="1" x14ac:dyDescent="0.15">
      <c r="A205" s="261"/>
      <c r="B205" s="166" t="s">
        <v>22</v>
      </c>
      <c r="C205" s="105">
        <v>16599</v>
      </c>
      <c r="D205" s="105">
        <v>16599</v>
      </c>
      <c r="E205" s="105">
        <v>16599</v>
      </c>
      <c r="F205" s="105">
        <v>16599</v>
      </c>
      <c r="G205" s="105">
        <v>16599</v>
      </c>
      <c r="H205" s="105"/>
      <c r="I205" s="105"/>
      <c r="J205" s="105"/>
      <c r="K205" s="105"/>
      <c r="L205" s="105"/>
      <c r="M205" s="105"/>
      <c r="N205" s="105"/>
      <c r="O205" s="105">
        <f t="shared" si="42"/>
        <v>82995</v>
      </c>
    </row>
    <row r="206" spans="1:15" ht="16.5" customHeight="1" x14ac:dyDescent="0.15">
      <c r="A206" s="261"/>
      <c r="B206" s="166" t="s">
        <v>67</v>
      </c>
      <c r="C206" s="105">
        <v>1240</v>
      </c>
      <c r="D206" s="105">
        <v>1240</v>
      </c>
      <c r="E206" s="105">
        <v>1240</v>
      </c>
      <c r="F206" s="105">
        <v>1240</v>
      </c>
      <c r="G206" s="105">
        <v>1240</v>
      </c>
      <c r="H206" s="105"/>
      <c r="I206" s="105"/>
      <c r="J206" s="105"/>
      <c r="K206" s="105"/>
      <c r="L206" s="105"/>
      <c r="M206" s="105"/>
      <c r="N206" s="105"/>
      <c r="O206" s="105">
        <f t="shared" si="42"/>
        <v>6200</v>
      </c>
    </row>
    <row r="207" spans="1:15" ht="16.5" customHeight="1" x14ac:dyDescent="0.15">
      <c r="A207" s="261"/>
      <c r="B207" s="166" t="s">
        <v>23</v>
      </c>
      <c r="C207" s="105">
        <v>27664</v>
      </c>
      <c r="D207" s="105">
        <v>27664</v>
      </c>
      <c r="E207" s="105">
        <v>27664</v>
      </c>
      <c r="F207" s="105">
        <v>27664</v>
      </c>
      <c r="G207" s="105">
        <v>27664</v>
      </c>
      <c r="H207" s="105"/>
      <c r="I207" s="105"/>
      <c r="J207" s="105"/>
      <c r="K207" s="105"/>
      <c r="L207" s="105"/>
      <c r="M207" s="105"/>
      <c r="N207" s="105"/>
      <c r="O207" s="105">
        <f t="shared" si="42"/>
        <v>138320</v>
      </c>
    </row>
    <row r="208" spans="1:15" ht="16.5" customHeight="1" x14ac:dyDescent="0.15">
      <c r="A208" s="261"/>
      <c r="B208" s="166" t="s">
        <v>157</v>
      </c>
      <c r="C208" s="105">
        <v>2441</v>
      </c>
      <c r="D208" s="105">
        <v>2882</v>
      </c>
      <c r="E208" s="105">
        <v>2911</v>
      </c>
      <c r="F208" s="105">
        <v>2764</v>
      </c>
      <c r="G208" s="105">
        <v>2571</v>
      </c>
      <c r="H208" s="105"/>
      <c r="I208" s="105"/>
      <c r="J208" s="105"/>
      <c r="K208" s="105"/>
      <c r="L208" s="105"/>
      <c r="M208" s="105"/>
      <c r="N208" s="105"/>
      <c r="O208" s="105">
        <f t="shared" si="42"/>
        <v>13569</v>
      </c>
    </row>
    <row r="209" spans="1:15" ht="16.5" customHeight="1" x14ac:dyDescent="0.15">
      <c r="A209" s="261"/>
      <c r="B209" s="166" t="s">
        <v>158</v>
      </c>
      <c r="C209" s="105">
        <v>308455</v>
      </c>
      <c r="D209" s="105">
        <v>339053</v>
      </c>
      <c r="E209" s="105">
        <v>342525</v>
      </c>
      <c r="F209" s="105">
        <v>325100</v>
      </c>
      <c r="G209" s="105">
        <v>302390</v>
      </c>
      <c r="H209" s="105"/>
      <c r="I209" s="105"/>
      <c r="J209" s="105"/>
      <c r="K209" s="105"/>
      <c r="L209" s="105"/>
      <c r="M209" s="105"/>
      <c r="N209" s="105"/>
      <c r="O209" s="105">
        <f t="shared" si="42"/>
        <v>1617523</v>
      </c>
    </row>
    <row r="210" spans="1:15" ht="16.5" customHeight="1" x14ac:dyDescent="0.15">
      <c r="A210" s="261"/>
      <c r="B210" s="171"/>
      <c r="C210" s="107"/>
      <c r="D210" s="107">
        <v>2</v>
      </c>
      <c r="E210" s="107">
        <v>2</v>
      </c>
      <c r="F210" s="107">
        <v>2</v>
      </c>
      <c r="G210" s="107">
        <v>2</v>
      </c>
      <c r="H210" s="107"/>
      <c r="I210" s="107"/>
      <c r="J210" s="107"/>
      <c r="K210" s="107"/>
      <c r="L210" s="107"/>
      <c r="M210" s="107"/>
      <c r="N210" s="107"/>
      <c r="O210" s="107"/>
    </row>
    <row r="211" spans="1:15" ht="16.5" customHeight="1" thickBot="1" x14ac:dyDescent="0.2">
      <c r="A211" s="261"/>
      <c r="B211" s="171" t="s">
        <v>171</v>
      </c>
      <c r="C211" s="107">
        <v>2</v>
      </c>
      <c r="D211" s="107">
        <v>1</v>
      </c>
      <c r="E211" s="107">
        <v>3</v>
      </c>
      <c r="F211" s="107">
        <v>3</v>
      </c>
      <c r="G211" s="107">
        <v>1</v>
      </c>
      <c r="H211" s="107"/>
      <c r="I211" s="107"/>
      <c r="J211" s="107"/>
      <c r="K211" s="107"/>
      <c r="L211" s="107"/>
      <c r="M211" s="107"/>
      <c r="N211" s="107"/>
      <c r="O211" s="168">
        <f t="shared" si="42"/>
        <v>10</v>
      </c>
    </row>
    <row r="212" spans="1:15" ht="16.5" customHeight="1" thickTop="1" x14ac:dyDescent="0.15">
      <c r="A212" s="261"/>
      <c r="B212" s="169" t="s">
        <v>159</v>
      </c>
      <c r="C212" s="110">
        <f>IF(C200="","",C200-SUM(C201:C208))</f>
        <v>79376</v>
      </c>
      <c r="D212" s="110">
        <v>104549</v>
      </c>
      <c r="E212" s="110">
        <v>82236</v>
      </c>
      <c r="F212" s="110">
        <v>73973</v>
      </c>
      <c r="G212" s="110">
        <v>84886</v>
      </c>
      <c r="H212" s="110" t="str">
        <f t="shared" ref="H212:M212" si="43">IF(H200="","",H200-SUM(H201:H208))</f>
        <v/>
      </c>
      <c r="I212" s="110" t="str">
        <f t="shared" si="43"/>
        <v/>
      </c>
      <c r="J212" s="110" t="str">
        <f t="shared" si="43"/>
        <v/>
      </c>
      <c r="K212" s="110" t="str">
        <f t="shared" si="43"/>
        <v/>
      </c>
      <c r="L212" s="110" t="str">
        <f t="shared" si="43"/>
        <v/>
      </c>
      <c r="M212" s="110" t="str">
        <f t="shared" si="43"/>
        <v/>
      </c>
      <c r="N212" s="110" t="str">
        <f>IF(N200="","",N200-SUM(N201:N208))</f>
        <v/>
      </c>
      <c r="O212" s="110">
        <f>IF(O200="","",O200-SUM(O201:O208))</f>
        <v>425020</v>
      </c>
    </row>
    <row r="213" spans="1:15" ht="16.5" customHeight="1" thickBot="1" x14ac:dyDescent="0.2">
      <c r="A213" s="262"/>
      <c r="B213" s="170" t="s">
        <v>160</v>
      </c>
      <c r="C213" s="112">
        <f>IF(C200="","",IF(C200=0,"―     ",C212/C200))</f>
        <v>0.18214904480523206</v>
      </c>
      <c r="D213" s="112">
        <v>0.2125035824117304</v>
      </c>
      <c r="E213" s="112">
        <v>0.17379616420985894</v>
      </c>
      <c r="F213" s="112">
        <v>0.16536191711002818</v>
      </c>
      <c r="G213" s="112">
        <v>0.19498334673251408</v>
      </c>
      <c r="H213" s="112" t="str">
        <f t="shared" ref="H213:N213" si="44">IF(H200="","",IF(H200=0,"―     ",H212/H200))</f>
        <v/>
      </c>
      <c r="I213" s="112" t="str">
        <f t="shared" si="44"/>
        <v/>
      </c>
      <c r="J213" s="112" t="str">
        <f t="shared" si="44"/>
        <v/>
      </c>
      <c r="K213" s="112" t="str">
        <f t="shared" si="44"/>
        <v/>
      </c>
      <c r="L213" s="112" t="str">
        <f t="shared" si="44"/>
        <v/>
      </c>
      <c r="M213" s="112" t="str">
        <f t="shared" si="44"/>
        <v/>
      </c>
      <c r="N213" s="112" t="str">
        <f t="shared" si="44"/>
        <v/>
      </c>
      <c r="O213" s="112">
        <f>IF(O200="","",IF(O200=0,"―     ",O212/O200))</f>
        <v>0.18611620899560216</v>
      </c>
    </row>
    <row r="214" spans="1:15" ht="16.5" customHeight="1" x14ac:dyDescent="0.15">
      <c r="A214" s="257"/>
      <c r="B214" s="164" t="s">
        <v>21</v>
      </c>
      <c r="C214" s="102">
        <v>1862872</v>
      </c>
      <c r="D214" s="102">
        <v>1932901</v>
      </c>
      <c r="E214" s="102">
        <v>1750563</v>
      </c>
      <c r="F214" s="102">
        <v>1753357</v>
      </c>
      <c r="G214" s="102">
        <v>2056944</v>
      </c>
      <c r="H214" s="102"/>
      <c r="I214" s="102"/>
      <c r="J214" s="102"/>
      <c r="K214" s="102"/>
      <c r="L214" s="102"/>
      <c r="M214" s="102"/>
      <c r="N214" s="102"/>
      <c r="O214" s="103">
        <f>SUM(C214:N214)</f>
        <v>9356637</v>
      </c>
    </row>
    <row r="215" spans="1:15" ht="16.5" customHeight="1" x14ac:dyDescent="0.15">
      <c r="A215" s="247"/>
      <c r="B215" s="166" t="s">
        <v>155</v>
      </c>
      <c r="C215" s="105">
        <v>1196530</v>
      </c>
      <c r="D215" s="105">
        <v>1264470</v>
      </c>
      <c r="E215" s="105">
        <v>1162780</v>
      </c>
      <c r="F215" s="105">
        <v>1182040</v>
      </c>
      <c r="G215" s="105">
        <v>1306795</v>
      </c>
      <c r="H215" s="105"/>
      <c r="I215" s="105"/>
      <c r="J215" s="105"/>
      <c r="K215" s="105"/>
      <c r="L215" s="105"/>
      <c r="M215" s="105"/>
      <c r="N215" s="105"/>
      <c r="O215" s="105">
        <f t="shared" ref="O215:O225" si="45">SUM(C215:N215)</f>
        <v>6112615</v>
      </c>
    </row>
    <row r="216" spans="1:15" ht="16.5" customHeight="1" x14ac:dyDescent="0.15">
      <c r="A216" s="247"/>
      <c r="B216" s="166" t="s">
        <v>156</v>
      </c>
      <c r="C216" s="105">
        <v>1000</v>
      </c>
      <c r="D216" s="105">
        <v>1000</v>
      </c>
      <c r="E216" s="105">
        <v>1000</v>
      </c>
      <c r="F216" s="105">
        <v>1000</v>
      </c>
      <c r="G216" s="105">
        <v>0</v>
      </c>
      <c r="H216" s="105"/>
      <c r="I216" s="105"/>
      <c r="J216" s="105"/>
      <c r="K216" s="105"/>
      <c r="L216" s="105"/>
      <c r="M216" s="105"/>
      <c r="N216" s="105"/>
      <c r="O216" s="105">
        <f t="shared" si="45"/>
        <v>4000</v>
      </c>
    </row>
    <row r="217" spans="1:15" ht="16.5" customHeight="1" x14ac:dyDescent="0.15">
      <c r="A217" s="247"/>
      <c r="B217" s="166" t="s">
        <v>26</v>
      </c>
      <c r="C217" s="105">
        <v>75300</v>
      </c>
      <c r="D217" s="105">
        <v>79410</v>
      </c>
      <c r="E217" s="105">
        <v>75360</v>
      </c>
      <c r="F217" s="105">
        <v>76420</v>
      </c>
      <c r="G217" s="105">
        <v>59000</v>
      </c>
      <c r="H217" s="105"/>
      <c r="I217" s="105"/>
      <c r="J217" s="105"/>
      <c r="K217" s="105"/>
      <c r="L217" s="105"/>
      <c r="M217" s="105"/>
      <c r="N217" s="105"/>
      <c r="O217" s="105">
        <f t="shared" si="45"/>
        <v>365490</v>
      </c>
    </row>
    <row r="218" spans="1:15" ht="16.5" customHeight="1" x14ac:dyDescent="0.15">
      <c r="A218" s="247"/>
      <c r="B218" s="166" t="s">
        <v>66</v>
      </c>
      <c r="C218" s="106">
        <v>1126</v>
      </c>
      <c r="D218" s="105">
        <v>3451</v>
      </c>
      <c r="E218" s="105">
        <v>1770</v>
      </c>
      <c r="F218" s="105">
        <v>1207</v>
      </c>
      <c r="G218" s="105">
        <v>2301</v>
      </c>
      <c r="H218" s="105"/>
      <c r="I218" s="106"/>
      <c r="J218" s="106"/>
      <c r="K218" s="106"/>
      <c r="L218" s="106"/>
      <c r="M218" s="106"/>
      <c r="N218" s="106"/>
      <c r="O218" s="105">
        <f t="shared" si="45"/>
        <v>9855</v>
      </c>
    </row>
    <row r="219" spans="1:15" ht="16.5" customHeight="1" x14ac:dyDescent="0.15">
      <c r="A219" s="247"/>
      <c r="B219" s="166" t="s">
        <v>22</v>
      </c>
      <c r="C219" s="105">
        <v>66700</v>
      </c>
      <c r="D219" s="105">
        <v>66700</v>
      </c>
      <c r="E219" s="105">
        <v>59557</v>
      </c>
      <c r="F219" s="105">
        <v>59557</v>
      </c>
      <c r="G219" s="105">
        <v>51509</v>
      </c>
      <c r="H219" s="105"/>
      <c r="I219" s="105"/>
      <c r="J219" s="105"/>
      <c r="K219" s="105"/>
      <c r="L219" s="105"/>
      <c r="M219" s="105"/>
      <c r="N219" s="105"/>
      <c r="O219" s="105">
        <f t="shared" si="45"/>
        <v>304023</v>
      </c>
    </row>
    <row r="220" spans="1:15" ht="16.5" customHeight="1" x14ac:dyDescent="0.15">
      <c r="A220" s="247"/>
      <c r="B220" s="166" t="s">
        <v>67</v>
      </c>
      <c r="C220" s="105">
        <v>2340</v>
      </c>
      <c r="D220" s="105">
        <v>2340</v>
      </c>
      <c r="E220" s="105">
        <v>1240</v>
      </c>
      <c r="F220" s="105">
        <v>1240</v>
      </c>
      <c r="G220" s="105">
        <v>1240</v>
      </c>
      <c r="H220" s="105"/>
      <c r="I220" s="105"/>
      <c r="J220" s="105"/>
      <c r="K220" s="105"/>
      <c r="L220" s="105"/>
      <c r="M220" s="105"/>
      <c r="N220" s="105"/>
      <c r="O220" s="105">
        <f t="shared" si="45"/>
        <v>8400</v>
      </c>
    </row>
    <row r="221" spans="1:15" ht="16.5" customHeight="1" x14ac:dyDescent="0.15">
      <c r="A221" s="247"/>
      <c r="B221" s="166" t="s">
        <v>23</v>
      </c>
      <c r="C221" s="105">
        <v>111160</v>
      </c>
      <c r="D221" s="105">
        <v>111160</v>
      </c>
      <c r="E221" s="105">
        <v>99256</v>
      </c>
      <c r="F221" s="105">
        <v>99256</v>
      </c>
      <c r="G221" s="105">
        <v>85843</v>
      </c>
      <c r="H221" s="105"/>
      <c r="I221" s="105"/>
      <c r="J221" s="105"/>
      <c r="K221" s="105"/>
      <c r="L221" s="105"/>
      <c r="M221" s="105"/>
      <c r="N221" s="105"/>
      <c r="O221" s="105">
        <f t="shared" si="45"/>
        <v>506675</v>
      </c>
    </row>
    <row r="222" spans="1:15" ht="16.5" customHeight="1" x14ac:dyDescent="0.15">
      <c r="A222" s="247"/>
      <c r="B222" s="166" t="s">
        <v>157</v>
      </c>
      <c r="C222" s="105">
        <v>10085</v>
      </c>
      <c r="D222" s="105">
        <v>11462</v>
      </c>
      <c r="E222" s="105">
        <v>10548</v>
      </c>
      <c r="F222" s="105">
        <v>10716</v>
      </c>
      <c r="G222" s="105">
        <v>11625</v>
      </c>
      <c r="H222" s="105"/>
      <c r="I222" s="105"/>
      <c r="J222" s="105"/>
      <c r="K222" s="105"/>
      <c r="L222" s="105"/>
      <c r="M222" s="105"/>
      <c r="N222" s="105"/>
      <c r="O222" s="105">
        <f t="shared" si="45"/>
        <v>54436</v>
      </c>
    </row>
    <row r="223" spans="1:15" ht="16.5" customHeight="1" x14ac:dyDescent="0.15">
      <c r="A223" s="247"/>
      <c r="B223" s="166" t="s">
        <v>158</v>
      </c>
      <c r="C223" s="105">
        <v>1273956</v>
      </c>
      <c r="D223" s="105">
        <v>1348331</v>
      </c>
      <c r="E223" s="105">
        <v>1240910</v>
      </c>
      <c r="F223" s="105">
        <v>1260667</v>
      </c>
      <c r="G223" s="105">
        <v>1368096</v>
      </c>
      <c r="H223" s="105"/>
      <c r="I223" s="105"/>
      <c r="J223" s="105"/>
      <c r="K223" s="105"/>
      <c r="L223" s="105"/>
      <c r="M223" s="105"/>
      <c r="N223" s="105"/>
      <c r="O223" s="105">
        <f t="shared" si="45"/>
        <v>6491960</v>
      </c>
    </row>
    <row r="224" spans="1:15" ht="16.5" customHeight="1" x14ac:dyDescent="0.15">
      <c r="A224" s="247"/>
      <c r="B224" s="171"/>
      <c r="C224" s="107"/>
      <c r="D224" s="107">
        <v>10</v>
      </c>
      <c r="E224" s="107">
        <v>8</v>
      </c>
      <c r="F224" s="107">
        <v>9</v>
      </c>
      <c r="G224" s="107">
        <v>10</v>
      </c>
      <c r="H224" s="107"/>
      <c r="I224" s="107"/>
      <c r="J224" s="107"/>
      <c r="K224" s="107"/>
      <c r="L224" s="107"/>
      <c r="M224" s="107"/>
      <c r="N224" s="107"/>
      <c r="O224" s="107"/>
    </row>
    <row r="225" spans="1:15" ht="16.5" customHeight="1" thickBot="1" x14ac:dyDescent="0.2">
      <c r="A225" s="247"/>
      <c r="B225" s="171" t="s">
        <v>171</v>
      </c>
      <c r="C225" s="107">
        <v>8</v>
      </c>
      <c r="D225" s="107">
        <v>12</v>
      </c>
      <c r="E225" s="107">
        <v>11</v>
      </c>
      <c r="F225" s="107">
        <v>14</v>
      </c>
      <c r="G225" s="107">
        <v>11</v>
      </c>
      <c r="H225" s="107"/>
      <c r="I225" s="107"/>
      <c r="J225" s="107"/>
      <c r="K225" s="107"/>
      <c r="L225" s="107"/>
      <c r="M225" s="107"/>
      <c r="N225" s="107"/>
      <c r="O225" s="168">
        <f t="shared" si="45"/>
        <v>56</v>
      </c>
    </row>
    <row r="226" spans="1:15" ht="16.5" customHeight="1" thickTop="1" x14ac:dyDescent="0.15">
      <c r="A226" s="247"/>
      <c r="B226" s="169" t="s">
        <v>159</v>
      </c>
      <c r="C226" s="110">
        <f>IF(C214="","",C214-SUM(C215:C222))</f>
        <v>398631</v>
      </c>
      <c r="D226" s="110">
        <v>392908</v>
      </c>
      <c r="E226" s="110">
        <v>339052</v>
      </c>
      <c r="F226" s="110">
        <v>321921</v>
      </c>
      <c r="G226" s="110">
        <v>538631</v>
      </c>
      <c r="H226" s="110" t="str">
        <f t="shared" ref="H226:M226" si="46">IF(H214="","",H214-SUM(H215:H222))</f>
        <v/>
      </c>
      <c r="I226" s="110" t="str">
        <f t="shared" si="46"/>
        <v/>
      </c>
      <c r="J226" s="110" t="str">
        <f t="shared" si="46"/>
        <v/>
      </c>
      <c r="K226" s="110" t="str">
        <f t="shared" si="46"/>
        <v/>
      </c>
      <c r="L226" s="110" t="str">
        <f t="shared" si="46"/>
        <v/>
      </c>
      <c r="M226" s="110" t="str">
        <f t="shared" si="46"/>
        <v/>
      </c>
      <c r="N226" s="110" t="str">
        <f>IF(N214="","",N214-SUM(N215:N222))</f>
        <v/>
      </c>
      <c r="O226" s="110">
        <f>IF(O214="","",O214-SUM(O215:O222))</f>
        <v>1991143</v>
      </c>
    </row>
    <row r="227" spans="1:15" ht="16.5" customHeight="1" thickBot="1" x14ac:dyDescent="0.2">
      <c r="A227" s="248"/>
      <c r="B227" s="170" t="s">
        <v>160</v>
      </c>
      <c r="C227" s="112">
        <f>IF(C214="","",IF(C214=0,"―     ",C226/C214))</f>
        <v>0.21398732709493729</v>
      </c>
      <c r="D227" s="112">
        <v>0.20327373207422419</v>
      </c>
      <c r="E227" s="112">
        <v>0.19368168983349929</v>
      </c>
      <c r="F227" s="112">
        <v>0.18360265479306268</v>
      </c>
      <c r="G227" s="112">
        <v>0.26185982700549942</v>
      </c>
      <c r="H227" s="112" t="str">
        <f t="shared" ref="H227:N227" si="47">IF(H214="","",IF(H214=0,"―     ",H226/H214))</f>
        <v/>
      </c>
      <c r="I227" s="112" t="str">
        <f t="shared" si="47"/>
        <v/>
      </c>
      <c r="J227" s="112" t="str">
        <f t="shared" si="47"/>
        <v/>
      </c>
      <c r="K227" s="112" t="str">
        <f t="shared" si="47"/>
        <v/>
      </c>
      <c r="L227" s="112" t="str">
        <f t="shared" si="47"/>
        <v/>
      </c>
      <c r="M227" s="112" t="str">
        <f t="shared" si="47"/>
        <v/>
      </c>
      <c r="N227" s="112" t="str">
        <f t="shared" si="47"/>
        <v/>
      </c>
      <c r="O227" s="112">
        <f>IF(O214="","",IF(O214=0,"―     ",O226/O214))</f>
        <v>0.21280541288499277</v>
      </c>
    </row>
    <row r="228" spans="1:15" ht="16.5" customHeight="1" x14ac:dyDescent="0.15">
      <c r="A228" s="252"/>
      <c r="B228" s="164" t="s">
        <v>21</v>
      </c>
      <c r="C228" s="102">
        <v>1102770</v>
      </c>
      <c r="D228" s="102">
        <v>1231111</v>
      </c>
      <c r="E228" s="102">
        <v>1171568</v>
      </c>
      <c r="F228" s="102">
        <v>1301410</v>
      </c>
      <c r="G228" s="102">
        <v>1205732</v>
      </c>
      <c r="H228" s="102"/>
      <c r="I228" s="102"/>
      <c r="J228" s="102"/>
      <c r="K228" s="102"/>
      <c r="L228" s="102"/>
      <c r="M228" s="102"/>
      <c r="N228" s="102"/>
      <c r="O228" s="103">
        <f>SUM(C228:N228)</f>
        <v>6012591</v>
      </c>
    </row>
    <row r="229" spans="1:15" ht="16.5" customHeight="1" x14ac:dyDescent="0.15">
      <c r="A229" s="250"/>
      <c r="B229" s="166" t="s">
        <v>155</v>
      </c>
      <c r="C229" s="105">
        <v>666225</v>
      </c>
      <c r="D229" s="105">
        <v>721620</v>
      </c>
      <c r="E229" s="105">
        <v>675492</v>
      </c>
      <c r="F229" s="105">
        <v>752526</v>
      </c>
      <c r="G229" s="105">
        <v>692464</v>
      </c>
      <c r="H229" s="105"/>
      <c r="I229" s="105"/>
      <c r="J229" s="105"/>
      <c r="K229" s="105"/>
      <c r="L229" s="105"/>
      <c r="M229" s="105"/>
      <c r="N229" s="105"/>
      <c r="O229" s="105">
        <f t="shared" ref="O229:O239" si="48">SUM(C229:N229)</f>
        <v>3508327</v>
      </c>
    </row>
    <row r="230" spans="1:15" ht="16.5" customHeight="1" x14ac:dyDescent="0.15">
      <c r="A230" s="250"/>
      <c r="B230" s="166" t="s">
        <v>156</v>
      </c>
      <c r="C230" s="105">
        <v>0</v>
      </c>
      <c r="D230" s="105">
        <v>0</v>
      </c>
      <c r="E230" s="105">
        <v>0</v>
      </c>
      <c r="F230" s="105">
        <v>0</v>
      </c>
      <c r="G230" s="105">
        <v>0</v>
      </c>
      <c r="H230" s="105"/>
      <c r="I230" s="105"/>
      <c r="J230" s="105"/>
      <c r="K230" s="105"/>
      <c r="L230" s="105"/>
      <c r="M230" s="105"/>
      <c r="N230" s="105"/>
      <c r="O230" s="105">
        <f t="shared" si="48"/>
        <v>0</v>
      </c>
    </row>
    <row r="231" spans="1:15" ht="16.5" customHeight="1" x14ac:dyDescent="0.15">
      <c r="A231" s="250"/>
      <c r="B231" s="166" t="s">
        <v>26</v>
      </c>
      <c r="C231" s="105">
        <v>27170</v>
      </c>
      <c r="D231" s="105">
        <v>30800</v>
      </c>
      <c r="E231" s="105">
        <v>22820</v>
      </c>
      <c r="F231" s="105">
        <v>22530</v>
      </c>
      <c r="G231" s="105">
        <v>17150</v>
      </c>
      <c r="H231" s="105"/>
      <c r="I231" s="105"/>
      <c r="J231" s="105"/>
      <c r="K231" s="105"/>
      <c r="L231" s="105"/>
      <c r="M231" s="105"/>
      <c r="N231" s="105"/>
      <c r="O231" s="105">
        <f t="shared" si="48"/>
        <v>120470</v>
      </c>
    </row>
    <row r="232" spans="1:15" ht="16.5" customHeight="1" x14ac:dyDescent="0.15">
      <c r="A232" s="250"/>
      <c r="B232" s="166" t="s">
        <v>66</v>
      </c>
      <c r="C232" s="106">
        <v>53182</v>
      </c>
      <c r="D232" s="105">
        <v>55494</v>
      </c>
      <c r="E232" s="105">
        <v>65732</v>
      </c>
      <c r="F232" s="105">
        <v>75891</v>
      </c>
      <c r="G232" s="105">
        <v>65522</v>
      </c>
      <c r="H232" s="105"/>
      <c r="I232" s="106"/>
      <c r="J232" s="106"/>
      <c r="K232" s="106"/>
      <c r="L232" s="106"/>
      <c r="M232" s="106"/>
      <c r="N232" s="106"/>
      <c r="O232" s="105">
        <f t="shared" si="48"/>
        <v>315821</v>
      </c>
    </row>
    <row r="233" spans="1:15" ht="16.5" customHeight="1" x14ac:dyDescent="0.15">
      <c r="A233" s="250"/>
      <c r="B233" s="166" t="s">
        <v>22</v>
      </c>
      <c r="C233" s="105">
        <v>37826</v>
      </c>
      <c r="D233" s="105">
        <v>37826</v>
      </c>
      <c r="E233" s="105">
        <v>30281</v>
      </c>
      <c r="F233" s="105">
        <v>30281</v>
      </c>
      <c r="G233" s="105">
        <v>29879</v>
      </c>
      <c r="H233" s="105"/>
      <c r="I233" s="105"/>
      <c r="J233" s="105"/>
      <c r="K233" s="105"/>
      <c r="L233" s="105"/>
      <c r="M233" s="105"/>
      <c r="N233" s="105"/>
      <c r="O233" s="105">
        <f t="shared" si="48"/>
        <v>166093</v>
      </c>
    </row>
    <row r="234" spans="1:15" ht="16.5" customHeight="1" x14ac:dyDescent="0.15">
      <c r="A234" s="250"/>
      <c r="B234" s="166" t="s">
        <v>67</v>
      </c>
      <c r="C234" s="105">
        <v>3564</v>
      </c>
      <c r="D234" s="105">
        <v>3564</v>
      </c>
      <c r="E234" s="105">
        <v>3564</v>
      </c>
      <c r="F234" s="105">
        <v>3564</v>
      </c>
      <c r="G234" s="105">
        <v>2402</v>
      </c>
      <c r="H234" s="105"/>
      <c r="I234" s="105"/>
      <c r="J234" s="105"/>
      <c r="K234" s="105"/>
      <c r="L234" s="105"/>
      <c r="M234" s="105"/>
      <c r="N234" s="105"/>
      <c r="O234" s="105">
        <f t="shared" si="48"/>
        <v>16658</v>
      </c>
    </row>
    <row r="235" spans="1:15" ht="16.5" customHeight="1" x14ac:dyDescent="0.15">
      <c r="A235" s="250"/>
      <c r="B235" s="166" t="s">
        <v>23</v>
      </c>
      <c r="C235" s="105">
        <v>63039</v>
      </c>
      <c r="D235" s="105">
        <v>63039</v>
      </c>
      <c r="E235" s="105">
        <v>50465</v>
      </c>
      <c r="F235" s="105">
        <v>50465</v>
      </c>
      <c r="G235" s="105">
        <v>49795</v>
      </c>
      <c r="H235" s="105"/>
      <c r="I235" s="105"/>
      <c r="J235" s="105"/>
      <c r="K235" s="105"/>
      <c r="L235" s="105"/>
      <c r="M235" s="105"/>
      <c r="N235" s="105"/>
      <c r="O235" s="105">
        <f t="shared" si="48"/>
        <v>276803</v>
      </c>
    </row>
    <row r="236" spans="1:15" ht="16.5" customHeight="1" x14ac:dyDescent="0.15">
      <c r="A236" s="250"/>
      <c r="B236" s="166" t="s">
        <v>157</v>
      </c>
      <c r="C236" s="105">
        <v>5909</v>
      </c>
      <c r="D236" s="105">
        <v>6711</v>
      </c>
      <c r="E236" s="105">
        <v>6434</v>
      </c>
      <c r="F236" s="105">
        <v>7231</v>
      </c>
      <c r="G236" s="105">
        <v>6589</v>
      </c>
      <c r="H236" s="105"/>
      <c r="I236" s="105"/>
      <c r="J236" s="105"/>
      <c r="K236" s="105"/>
      <c r="L236" s="105"/>
      <c r="M236" s="105"/>
      <c r="N236" s="105"/>
      <c r="O236" s="105">
        <f t="shared" si="48"/>
        <v>32874</v>
      </c>
    </row>
    <row r="237" spans="1:15" ht="16.5" customHeight="1" x14ac:dyDescent="0.15">
      <c r="A237" s="250"/>
      <c r="B237" s="166" t="s">
        <v>158</v>
      </c>
      <c r="C237" s="105">
        <v>746577</v>
      </c>
      <c r="D237" s="105">
        <v>807914</v>
      </c>
      <c r="E237" s="105">
        <v>764044</v>
      </c>
      <c r="F237" s="105">
        <v>850947</v>
      </c>
      <c r="G237" s="105">
        <v>775136</v>
      </c>
      <c r="H237" s="105"/>
      <c r="I237" s="105"/>
      <c r="J237" s="105"/>
      <c r="K237" s="105"/>
      <c r="L237" s="105"/>
      <c r="M237" s="105"/>
      <c r="N237" s="105"/>
      <c r="O237" s="105">
        <f t="shared" si="48"/>
        <v>3944618</v>
      </c>
    </row>
    <row r="238" spans="1:15" ht="16.5" customHeight="1" x14ac:dyDescent="0.15">
      <c r="A238" s="250"/>
      <c r="B238" s="171"/>
      <c r="C238" s="107"/>
      <c r="D238" s="107">
        <v>6</v>
      </c>
      <c r="E238" s="107">
        <v>6</v>
      </c>
      <c r="F238" s="107">
        <v>6</v>
      </c>
      <c r="G238" s="107">
        <v>5</v>
      </c>
      <c r="H238" s="107"/>
      <c r="I238" s="107"/>
      <c r="J238" s="107"/>
      <c r="K238" s="107"/>
      <c r="L238" s="107"/>
      <c r="M238" s="107"/>
      <c r="N238" s="107"/>
      <c r="O238" s="107"/>
    </row>
    <row r="239" spans="1:15" ht="16.5" customHeight="1" thickBot="1" x14ac:dyDescent="0.2">
      <c r="A239" s="250"/>
      <c r="B239" s="171" t="s">
        <v>171</v>
      </c>
      <c r="C239" s="107">
        <v>5</v>
      </c>
      <c r="D239" s="107">
        <v>2</v>
      </c>
      <c r="E239" s="107">
        <v>1</v>
      </c>
      <c r="F239" s="107">
        <v>3</v>
      </c>
      <c r="G239" s="107">
        <v>1</v>
      </c>
      <c r="H239" s="107"/>
      <c r="I239" s="107"/>
      <c r="J239" s="107"/>
      <c r="K239" s="107"/>
      <c r="L239" s="107"/>
      <c r="M239" s="107"/>
      <c r="N239" s="107"/>
      <c r="O239" s="168">
        <f t="shared" si="48"/>
        <v>12</v>
      </c>
    </row>
    <row r="240" spans="1:15" ht="16.5" customHeight="1" thickTop="1" x14ac:dyDescent="0.15">
      <c r="A240" s="250"/>
      <c r="B240" s="169" t="s">
        <v>159</v>
      </c>
      <c r="C240" s="110">
        <f>IF(C228="","",C228-SUM(C229:C236))</f>
        <v>245855</v>
      </c>
      <c r="D240" s="110">
        <v>312057</v>
      </c>
      <c r="E240" s="110">
        <v>316780</v>
      </c>
      <c r="F240" s="110">
        <v>358922</v>
      </c>
      <c r="G240" s="110">
        <v>341931</v>
      </c>
      <c r="H240" s="110" t="str">
        <f t="shared" ref="H240:M240" si="49">IF(H228="","",H228-SUM(H229:H236))</f>
        <v/>
      </c>
      <c r="I240" s="110" t="str">
        <f t="shared" si="49"/>
        <v/>
      </c>
      <c r="J240" s="110" t="str">
        <f t="shared" si="49"/>
        <v/>
      </c>
      <c r="K240" s="110" t="str">
        <f t="shared" si="49"/>
        <v/>
      </c>
      <c r="L240" s="110" t="str">
        <f t="shared" si="49"/>
        <v/>
      </c>
      <c r="M240" s="110" t="str">
        <f t="shared" si="49"/>
        <v/>
      </c>
      <c r="N240" s="110" t="str">
        <f>IF(N228="","",N228-SUM(N229:N236))</f>
        <v/>
      </c>
      <c r="O240" s="110">
        <f>IF(O228="","",O228-SUM(O229:O236))</f>
        <v>1575545</v>
      </c>
    </row>
    <row r="241" spans="1:15" ht="16.5" customHeight="1" thickBot="1" x14ac:dyDescent="0.2">
      <c r="A241" s="253"/>
      <c r="B241" s="170" t="s">
        <v>160</v>
      </c>
      <c r="C241" s="112">
        <f>IF(C228="","",IF(C228=0,"―     ",C240/C228))</f>
        <v>0.22294313410774685</v>
      </c>
      <c r="D241" s="112">
        <v>0.25347592540396441</v>
      </c>
      <c r="E241" s="112">
        <v>0.270389768242219</v>
      </c>
      <c r="F241" s="112">
        <v>0.27579471496300167</v>
      </c>
      <c r="G241" s="112">
        <v>0.28358789515414701</v>
      </c>
      <c r="H241" s="112" t="str">
        <f t="shared" ref="H241:N241" si="50">IF(H228="","",IF(H228=0,"―     ",H240/H228))</f>
        <v/>
      </c>
      <c r="I241" s="112" t="str">
        <f t="shared" si="50"/>
        <v/>
      </c>
      <c r="J241" s="112" t="str">
        <f t="shared" si="50"/>
        <v/>
      </c>
      <c r="K241" s="112" t="str">
        <f t="shared" si="50"/>
        <v/>
      </c>
      <c r="L241" s="112" t="str">
        <f t="shared" si="50"/>
        <v/>
      </c>
      <c r="M241" s="112" t="str">
        <f t="shared" si="50"/>
        <v/>
      </c>
      <c r="N241" s="112" t="str">
        <f t="shared" si="50"/>
        <v/>
      </c>
      <c r="O241" s="112">
        <f>IF(O228="","",IF(O228=0,"―     ",O240/O228))</f>
        <v>0.26204094041986226</v>
      </c>
    </row>
    <row r="242" spans="1:15" ht="16.5" customHeight="1" x14ac:dyDescent="0.15">
      <c r="A242" s="252"/>
      <c r="B242" s="164" t="s">
        <v>21</v>
      </c>
      <c r="C242" s="102">
        <v>647203</v>
      </c>
      <c r="D242" s="102">
        <v>659910</v>
      </c>
      <c r="E242" s="102">
        <v>706632</v>
      </c>
      <c r="F242" s="102">
        <v>699874</v>
      </c>
      <c r="G242" s="102">
        <v>674101</v>
      </c>
      <c r="H242" s="102"/>
      <c r="I242" s="102"/>
      <c r="J242" s="102"/>
      <c r="K242" s="102"/>
      <c r="L242" s="102"/>
      <c r="M242" s="102"/>
      <c r="N242" s="102"/>
      <c r="O242" s="103">
        <f>SUM(C242:N242)</f>
        <v>3387720</v>
      </c>
    </row>
    <row r="243" spans="1:15" ht="16.5" customHeight="1" x14ac:dyDescent="0.15">
      <c r="A243" s="250"/>
      <c r="B243" s="166" t="s">
        <v>155</v>
      </c>
      <c r="C243" s="105">
        <v>411240</v>
      </c>
      <c r="D243" s="105">
        <v>429600</v>
      </c>
      <c r="E243" s="105">
        <v>458568</v>
      </c>
      <c r="F243" s="105">
        <v>451440</v>
      </c>
      <c r="G243" s="105">
        <v>436800</v>
      </c>
      <c r="H243" s="105"/>
      <c r="I243" s="105"/>
      <c r="J243" s="105"/>
      <c r="K243" s="105"/>
      <c r="L243" s="105"/>
      <c r="M243" s="105"/>
      <c r="N243" s="105"/>
      <c r="O243" s="105">
        <f t="shared" ref="O243:O253" si="51">SUM(C243:N243)</f>
        <v>2187648</v>
      </c>
    </row>
    <row r="244" spans="1:15" ht="16.5" customHeight="1" x14ac:dyDescent="0.15">
      <c r="A244" s="250"/>
      <c r="B244" s="166" t="s">
        <v>156</v>
      </c>
      <c r="C244" s="105">
        <v>0</v>
      </c>
      <c r="D244" s="105">
        <v>0</v>
      </c>
      <c r="E244" s="105">
        <v>0</v>
      </c>
      <c r="F244" s="105">
        <v>0</v>
      </c>
      <c r="G244" s="105">
        <v>0</v>
      </c>
      <c r="H244" s="105"/>
      <c r="I244" s="105"/>
      <c r="J244" s="105"/>
      <c r="K244" s="105"/>
      <c r="L244" s="105"/>
      <c r="M244" s="105"/>
      <c r="N244" s="105"/>
      <c r="O244" s="105">
        <f t="shared" si="51"/>
        <v>0</v>
      </c>
    </row>
    <row r="245" spans="1:15" ht="16.5" customHeight="1" x14ac:dyDescent="0.15">
      <c r="A245" s="250"/>
      <c r="B245" s="166" t="s">
        <v>26</v>
      </c>
      <c r="C245" s="105">
        <v>12900</v>
      </c>
      <c r="D245" s="105">
        <v>13000</v>
      </c>
      <c r="E245" s="105">
        <v>14000</v>
      </c>
      <c r="F245" s="105">
        <v>14300</v>
      </c>
      <c r="G245" s="105">
        <v>13300</v>
      </c>
      <c r="H245" s="105"/>
      <c r="I245" s="105"/>
      <c r="J245" s="105"/>
      <c r="K245" s="105"/>
      <c r="L245" s="105"/>
      <c r="M245" s="105"/>
      <c r="N245" s="105"/>
      <c r="O245" s="105">
        <f t="shared" si="51"/>
        <v>67500</v>
      </c>
    </row>
    <row r="246" spans="1:15" ht="16.5" customHeight="1" x14ac:dyDescent="0.15">
      <c r="A246" s="250"/>
      <c r="B246" s="166" t="s">
        <v>66</v>
      </c>
      <c r="C246" s="106">
        <v>9439</v>
      </c>
      <c r="D246" s="105">
        <v>6525</v>
      </c>
      <c r="E246" s="105">
        <v>6807</v>
      </c>
      <c r="F246" s="105">
        <v>9720</v>
      </c>
      <c r="G246" s="105">
        <v>8123</v>
      </c>
      <c r="H246" s="105"/>
      <c r="I246" s="106"/>
      <c r="J246" s="106"/>
      <c r="K246" s="106"/>
      <c r="L246" s="106"/>
      <c r="M246" s="106"/>
      <c r="N246" s="106"/>
      <c r="O246" s="105">
        <f t="shared" si="51"/>
        <v>40614</v>
      </c>
    </row>
    <row r="247" spans="1:15" ht="16.5" customHeight="1" x14ac:dyDescent="0.15">
      <c r="A247" s="250"/>
      <c r="B247" s="166" t="s">
        <v>22</v>
      </c>
      <c r="C247" s="105">
        <v>23641</v>
      </c>
      <c r="D247" s="105">
        <v>23641</v>
      </c>
      <c r="E247" s="105">
        <v>23641</v>
      </c>
      <c r="F247" s="105">
        <v>23641</v>
      </c>
      <c r="G247" s="105">
        <v>23641</v>
      </c>
      <c r="H247" s="105"/>
      <c r="I247" s="105"/>
      <c r="J247" s="105"/>
      <c r="K247" s="105"/>
      <c r="L247" s="105"/>
      <c r="M247" s="105"/>
      <c r="N247" s="105"/>
      <c r="O247" s="105">
        <f t="shared" si="51"/>
        <v>118205</v>
      </c>
    </row>
    <row r="248" spans="1:15" ht="16.5" customHeight="1" x14ac:dyDescent="0.15">
      <c r="A248" s="250"/>
      <c r="B248" s="166" t="s">
        <v>67</v>
      </c>
      <c r="C248" s="105">
        <v>2402</v>
      </c>
      <c r="D248" s="105">
        <v>2402</v>
      </c>
      <c r="E248" s="105">
        <v>2402</v>
      </c>
      <c r="F248" s="105">
        <v>2402</v>
      </c>
      <c r="G248" s="105">
        <v>2402</v>
      </c>
      <c r="H248" s="105"/>
      <c r="I248" s="105"/>
      <c r="J248" s="105"/>
      <c r="K248" s="105"/>
      <c r="L248" s="105"/>
      <c r="M248" s="105"/>
      <c r="N248" s="105"/>
      <c r="O248" s="105">
        <f t="shared" si="51"/>
        <v>12010</v>
      </c>
    </row>
    <row r="249" spans="1:15" ht="16.5" customHeight="1" x14ac:dyDescent="0.15">
      <c r="A249" s="250"/>
      <c r="B249" s="166" t="s">
        <v>23</v>
      </c>
      <c r="C249" s="105">
        <v>39400</v>
      </c>
      <c r="D249" s="105">
        <v>39400</v>
      </c>
      <c r="E249" s="105">
        <v>39400</v>
      </c>
      <c r="F249" s="105">
        <v>39400</v>
      </c>
      <c r="G249" s="105">
        <v>39400</v>
      </c>
      <c r="H249" s="105"/>
      <c r="I249" s="105"/>
      <c r="J249" s="105"/>
      <c r="K249" s="105"/>
      <c r="L249" s="105"/>
      <c r="M249" s="105"/>
      <c r="N249" s="105"/>
      <c r="O249" s="105">
        <f t="shared" si="51"/>
        <v>197000</v>
      </c>
    </row>
    <row r="250" spans="1:15" ht="16.5" customHeight="1" x14ac:dyDescent="0.15">
      <c r="A250" s="250"/>
      <c r="B250" s="166" t="s">
        <v>157</v>
      </c>
      <c r="C250" s="105">
        <v>3432</v>
      </c>
      <c r="D250" s="105">
        <v>3818</v>
      </c>
      <c r="E250" s="105">
        <v>4075</v>
      </c>
      <c r="F250" s="105">
        <v>4043</v>
      </c>
      <c r="G250" s="105">
        <v>3895</v>
      </c>
      <c r="H250" s="105"/>
      <c r="I250" s="105"/>
      <c r="J250" s="105"/>
      <c r="K250" s="105"/>
      <c r="L250" s="105"/>
      <c r="M250" s="105"/>
      <c r="N250" s="105"/>
      <c r="O250" s="105">
        <f t="shared" si="51"/>
        <v>19263</v>
      </c>
    </row>
    <row r="251" spans="1:15" ht="16.5" customHeight="1" x14ac:dyDescent="0.15">
      <c r="A251" s="250"/>
      <c r="B251" s="166" t="s">
        <v>158</v>
      </c>
      <c r="C251" s="105">
        <v>433579</v>
      </c>
      <c r="D251" s="105">
        <v>449125</v>
      </c>
      <c r="E251" s="105">
        <v>479375</v>
      </c>
      <c r="F251" s="105">
        <v>475460</v>
      </c>
      <c r="G251" s="105">
        <v>458223</v>
      </c>
      <c r="H251" s="105"/>
      <c r="I251" s="105"/>
      <c r="J251" s="105"/>
      <c r="K251" s="105"/>
      <c r="L251" s="105"/>
      <c r="M251" s="105"/>
      <c r="N251" s="105"/>
      <c r="O251" s="105">
        <f t="shared" si="51"/>
        <v>2295762</v>
      </c>
    </row>
    <row r="252" spans="1:15" ht="16.5" customHeight="1" x14ac:dyDescent="0.15">
      <c r="A252" s="250"/>
      <c r="B252" s="171"/>
      <c r="C252" s="107"/>
      <c r="D252" s="107">
        <v>3</v>
      </c>
      <c r="E252" s="107">
        <v>3</v>
      </c>
      <c r="F252" s="107">
        <v>3</v>
      </c>
      <c r="G252" s="107">
        <v>3</v>
      </c>
      <c r="H252" s="107"/>
      <c r="I252" s="107"/>
      <c r="J252" s="107"/>
      <c r="K252" s="107"/>
      <c r="L252" s="107"/>
      <c r="M252" s="107"/>
      <c r="N252" s="107"/>
      <c r="O252" s="107"/>
    </row>
    <row r="253" spans="1:15" ht="16.5" customHeight="1" thickBot="1" x14ac:dyDescent="0.2">
      <c r="A253" s="250"/>
      <c r="B253" s="171" t="s">
        <v>171</v>
      </c>
      <c r="C253" s="107">
        <v>2</v>
      </c>
      <c r="D253" s="107">
        <v>3</v>
      </c>
      <c r="E253" s="107">
        <v>3</v>
      </c>
      <c r="F253" s="107">
        <v>3</v>
      </c>
      <c r="G253" s="107">
        <v>3</v>
      </c>
      <c r="H253" s="107"/>
      <c r="I253" s="107"/>
      <c r="J253" s="107"/>
      <c r="K253" s="107"/>
      <c r="L253" s="107"/>
      <c r="M253" s="107"/>
      <c r="N253" s="107"/>
      <c r="O253" s="168">
        <f t="shared" si="51"/>
        <v>14</v>
      </c>
    </row>
    <row r="254" spans="1:15" ht="16.5" customHeight="1" thickTop="1" x14ac:dyDescent="0.15">
      <c r="A254" s="250"/>
      <c r="B254" s="169" t="s">
        <v>159</v>
      </c>
      <c r="C254" s="110">
        <f>IF(C242="","",C242-SUM(C243:C250))</f>
        <v>144749</v>
      </c>
      <c r="D254" s="110">
        <v>141524</v>
      </c>
      <c r="E254" s="110">
        <v>157739</v>
      </c>
      <c r="F254" s="110">
        <v>154928</v>
      </c>
      <c r="G254" s="110">
        <v>146540</v>
      </c>
      <c r="H254" s="110" t="str">
        <f t="shared" ref="H254:M254" si="52">IF(H242="","",H242-SUM(H243:H250))</f>
        <v/>
      </c>
      <c r="I254" s="110" t="str">
        <f t="shared" si="52"/>
        <v/>
      </c>
      <c r="J254" s="110" t="str">
        <f t="shared" si="52"/>
        <v/>
      </c>
      <c r="K254" s="110" t="str">
        <f t="shared" si="52"/>
        <v/>
      </c>
      <c r="L254" s="110" t="str">
        <f t="shared" si="52"/>
        <v/>
      </c>
      <c r="M254" s="110" t="str">
        <f t="shared" si="52"/>
        <v/>
      </c>
      <c r="N254" s="110" t="str">
        <f>IF(N242="","",N242-SUM(N243:N250))</f>
        <v/>
      </c>
      <c r="O254" s="110">
        <f>IF(O242="","",O242-SUM(O243:O250))</f>
        <v>745480</v>
      </c>
    </row>
    <row r="255" spans="1:15" ht="16.5" customHeight="1" thickBot="1" x14ac:dyDescent="0.2">
      <c r="A255" s="253"/>
      <c r="B255" s="170" t="s">
        <v>160</v>
      </c>
      <c r="C255" s="112">
        <f>IF(C242="","",IF(C242=0,"―     ",C254/C242))</f>
        <v>0.22365316600819218</v>
      </c>
      <c r="D255" s="112">
        <v>0.21445954751405494</v>
      </c>
      <c r="E255" s="112">
        <v>0.22322651677252092</v>
      </c>
      <c r="F255" s="112">
        <v>0.22136556008652986</v>
      </c>
      <c r="G255" s="112">
        <v>0.2173858220059012</v>
      </c>
      <c r="H255" s="112" t="str">
        <f t="shared" ref="H255:N255" si="53">IF(H242="","",IF(H242=0,"―     ",H254/H242))</f>
        <v/>
      </c>
      <c r="I255" s="112" t="str">
        <f t="shared" si="53"/>
        <v/>
      </c>
      <c r="J255" s="112" t="str">
        <f t="shared" si="53"/>
        <v/>
      </c>
      <c r="K255" s="112" t="str">
        <f t="shared" si="53"/>
        <v/>
      </c>
      <c r="L255" s="112" t="str">
        <f t="shared" si="53"/>
        <v/>
      </c>
      <c r="M255" s="112" t="str">
        <f t="shared" si="53"/>
        <v/>
      </c>
      <c r="N255" s="112" t="str">
        <f t="shared" si="53"/>
        <v/>
      </c>
      <c r="O255" s="112">
        <f>IF(O242="","",IF(O242=0,"―     ",O254/O242))</f>
        <v>0.22005360537470628</v>
      </c>
    </row>
    <row r="256" spans="1:15" ht="16.5" customHeight="1" x14ac:dyDescent="0.15">
      <c r="A256" s="252"/>
      <c r="B256" s="164" t="s">
        <v>21</v>
      </c>
      <c r="C256" s="102">
        <v>1252794</v>
      </c>
      <c r="D256" s="102">
        <v>1329655</v>
      </c>
      <c r="E256" s="102">
        <v>1520116</v>
      </c>
      <c r="F256" s="102">
        <v>1458451</v>
      </c>
      <c r="G256" s="102">
        <v>1618592</v>
      </c>
      <c r="H256" s="102"/>
      <c r="I256" s="102"/>
      <c r="J256" s="102"/>
      <c r="K256" s="102"/>
      <c r="L256" s="102"/>
      <c r="M256" s="102"/>
      <c r="N256" s="102"/>
      <c r="O256" s="103">
        <f>SUM(C256:N256)</f>
        <v>7179608</v>
      </c>
    </row>
    <row r="257" spans="1:15" ht="16.5" customHeight="1" x14ac:dyDescent="0.15">
      <c r="A257" s="250"/>
      <c r="B257" s="166" t="s">
        <v>155</v>
      </c>
      <c r="C257" s="105">
        <v>797567</v>
      </c>
      <c r="D257" s="105">
        <v>846012</v>
      </c>
      <c r="E257" s="105">
        <v>944387</v>
      </c>
      <c r="F257" s="105">
        <v>895250</v>
      </c>
      <c r="G257" s="105">
        <v>1010991</v>
      </c>
      <c r="H257" s="105"/>
      <c r="I257" s="105"/>
      <c r="J257" s="105"/>
      <c r="K257" s="105"/>
      <c r="L257" s="105"/>
      <c r="M257" s="105"/>
      <c r="N257" s="105"/>
      <c r="O257" s="105">
        <f t="shared" ref="O257:O267" si="54">SUM(C257:N257)</f>
        <v>4494207</v>
      </c>
    </row>
    <row r="258" spans="1:15" ht="16.5" customHeight="1" x14ac:dyDescent="0.15">
      <c r="A258" s="250"/>
      <c r="B258" s="166" t="s">
        <v>156</v>
      </c>
      <c r="C258" s="105">
        <v>0</v>
      </c>
      <c r="D258" s="105">
        <v>0</v>
      </c>
      <c r="E258" s="105">
        <v>0</v>
      </c>
      <c r="F258" s="105">
        <v>0</v>
      </c>
      <c r="G258" s="105">
        <v>0</v>
      </c>
      <c r="H258" s="105"/>
      <c r="I258" s="105"/>
      <c r="J258" s="105"/>
      <c r="K258" s="105"/>
      <c r="L258" s="105"/>
      <c r="M258" s="105"/>
      <c r="N258" s="105"/>
      <c r="O258" s="105">
        <f t="shared" si="54"/>
        <v>0</v>
      </c>
    </row>
    <row r="259" spans="1:15" ht="16.5" customHeight="1" x14ac:dyDescent="0.15">
      <c r="A259" s="250"/>
      <c r="B259" s="166" t="s">
        <v>26</v>
      </c>
      <c r="C259" s="105">
        <v>75280</v>
      </c>
      <c r="D259" s="105">
        <v>78800</v>
      </c>
      <c r="E259" s="105">
        <v>85920</v>
      </c>
      <c r="F259" s="105">
        <v>84380</v>
      </c>
      <c r="G259" s="105">
        <v>102420</v>
      </c>
      <c r="H259" s="105"/>
      <c r="I259" s="105"/>
      <c r="J259" s="105"/>
      <c r="K259" s="105"/>
      <c r="L259" s="105"/>
      <c r="M259" s="105"/>
      <c r="N259" s="105"/>
      <c r="O259" s="105">
        <f t="shared" si="54"/>
        <v>426800</v>
      </c>
    </row>
    <row r="260" spans="1:15" ht="16.5" customHeight="1" x14ac:dyDescent="0.15">
      <c r="A260" s="250"/>
      <c r="B260" s="166" t="s">
        <v>66</v>
      </c>
      <c r="C260" s="106">
        <v>33145</v>
      </c>
      <c r="D260" s="105">
        <v>49339</v>
      </c>
      <c r="E260" s="105">
        <v>32120</v>
      </c>
      <c r="F260" s="105">
        <v>61995</v>
      </c>
      <c r="G260" s="105">
        <v>38684</v>
      </c>
      <c r="H260" s="105"/>
      <c r="I260" s="106"/>
      <c r="J260" s="106"/>
      <c r="K260" s="106"/>
      <c r="L260" s="106"/>
      <c r="M260" s="106"/>
      <c r="N260" s="106"/>
      <c r="O260" s="105">
        <f t="shared" si="54"/>
        <v>215283</v>
      </c>
    </row>
    <row r="261" spans="1:15" ht="16.5" customHeight="1" x14ac:dyDescent="0.15">
      <c r="A261" s="250"/>
      <c r="B261" s="166" t="s">
        <v>22</v>
      </c>
      <c r="C261" s="105">
        <v>40743</v>
      </c>
      <c r="D261" s="105">
        <v>40743</v>
      </c>
      <c r="E261" s="105">
        <v>40743</v>
      </c>
      <c r="F261" s="105">
        <v>49797</v>
      </c>
      <c r="G261" s="105">
        <v>49797</v>
      </c>
      <c r="H261" s="105"/>
      <c r="I261" s="105"/>
      <c r="J261" s="105"/>
      <c r="K261" s="105"/>
      <c r="L261" s="105"/>
      <c r="M261" s="105"/>
      <c r="N261" s="105"/>
      <c r="O261" s="105">
        <f t="shared" si="54"/>
        <v>221823</v>
      </c>
    </row>
    <row r="262" spans="1:15" ht="16.5" customHeight="1" x14ac:dyDescent="0.15">
      <c r="A262" s="250"/>
      <c r="B262" s="166" t="s">
        <v>67</v>
      </c>
      <c r="C262" s="105">
        <v>4805</v>
      </c>
      <c r="D262" s="105">
        <v>4805</v>
      </c>
      <c r="E262" s="105">
        <v>4805</v>
      </c>
      <c r="F262" s="105">
        <v>6200</v>
      </c>
      <c r="G262" s="105">
        <v>6200</v>
      </c>
      <c r="H262" s="105"/>
      <c r="I262" s="105"/>
      <c r="J262" s="105"/>
      <c r="K262" s="105"/>
      <c r="L262" s="105"/>
      <c r="M262" s="105"/>
      <c r="N262" s="105"/>
      <c r="O262" s="105">
        <f t="shared" si="54"/>
        <v>26815</v>
      </c>
    </row>
    <row r="263" spans="1:15" ht="16.5" customHeight="1" x14ac:dyDescent="0.15">
      <c r="A263" s="250"/>
      <c r="B263" s="166" t="s">
        <v>23</v>
      </c>
      <c r="C263" s="105">
        <v>67902</v>
      </c>
      <c r="D263" s="105">
        <v>67902</v>
      </c>
      <c r="E263" s="105">
        <v>67902</v>
      </c>
      <c r="F263" s="105">
        <v>82991</v>
      </c>
      <c r="G263" s="105">
        <v>82991</v>
      </c>
      <c r="H263" s="105"/>
      <c r="I263" s="105"/>
      <c r="J263" s="105"/>
      <c r="K263" s="105"/>
      <c r="L263" s="105"/>
      <c r="M263" s="105"/>
      <c r="N263" s="105"/>
      <c r="O263" s="105">
        <f t="shared" si="54"/>
        <v>369688</v>
      </c>
    </row>
    <row r="264" spans="1:15" ht="16.5" customHeight="1" x14ac:dyDescent="0.15">
      <c r="A264" s="250"/>
      <c r="B264" s="166" t="s">
        <v>157</v>
      </c>
      <c r="C264" s="105">
        <v>7173</v>
      </c>
      <c r="D264" s="105">
        <v>8281</v>
      </c>
      <c r="E264" s="105">
        <v>9029</v>
      </c>
      <c r="F264" s="105">
        <v>8854</v>
      </c>
      <c r="G264" s="105">
        <v>9794</v>
      </c>
      <c r="H264" s="105"/>
      <c r="I264" s="105"/>
      <c r="J264" s="105"/>
      <c r="K264" s="105"/>
      <c r="L264" s="105"/>
      <c r="M264" s="105"/>
      <c r="N264" s="105"/>
      <c r="O264" s="105">
        <f t="shared" si="54"/>
        <v>43131</v>
      </c>
    </row>
    <row r="265" spans="1:15" ht="16.5" customHeight="1" x14ac:dyDescent="0.15">
      <c r="A265" s="250"/>
      <c r="B265" s="166" t="s">
        <v>158</v>
      </c>
      <c r="C265" s="105">
        <v>905992</v>
      </c>
      <c r="D265" s="105">
        <v>974151</v>
      </c>
      <c r="E265" s="105">
        <v>1062427</v>
      </c>
      <c r="F265" s="105">
        <v>1041625</v>
      </c>
      <c r="G265" s="105">
        <v>1152095</v>
      </c>
      <c r="H265" s="105"/>
      <c r="I265" s="105"/>
      <c r="J265" s="105"/>
      <c r="K265" s="105"/>
      <c r="L265" s="105"/>
      <c r="M265" s="105"/>
      <c r="N265" s="105"/>
      <c r="O265" s="105">
        <f t="shared" si="54"/>
        <v>5136290</v>
      </c>
    </row>
    <row r="266" spans="1:15" ht="16.5" customHeight="1" x14ac:dyDescent="0.15">
      <c r="A266" s="250"/>
      <c r="B266" s="171"/>
      <c r="C266" s="107"/>
      <c r="D266" s="107">
        <v>6</v>
      </c>
      <c r="E266" s="107">
        <v>6</v>
      </c>
      <c r="F266" s="107">
        <v>6</v>
      </c>
      <c r="G266" s="107">
        <v>6</v>
      </c>
      <c r="H266" s="107"/>
      <c r="I266" s="107"/>
      <c r="J266" s="107"/>
      <c r="K266" s="107"/>
      <c r="L266" s="107"/>
      <c r="M266" s="107"/>
      <c r="N266" s="107"/>
      <c r="O266" s="107"/>
    </row>
    <row r="267" spans="1:15" ht="16.5" customHeight="1" thickBot="1" x14ac:dyDescent="0.2">
      <c r="A267" s="250"/>
      <c r="B267" s="171" t="s">
        <v>171</v>
      </c>
      <c r="C267" s="107">
        <v>5</v>
      </c>
      <c r="D267" s="107">
        <v>6</v>
      </c>
      <c r="E267" s="107">
        <v>2</v>
      </c>
      <c r="F267" s="107">
        <v>4</v>
      </c>
      <c r="G267" s="107">
        <v>3</v>
      </c>
      <c r="H267" s="107"/>
      <c r="I267" s="107"/>
      <c r="J267" s="107"/>
      <c r="K267" s="107"/>
      <c r="L267" s="107"/>
      <c r="M267" s="107"/>
      <c r="N267" s="107"/>
      <c r="O267" s="168">
        <f t="shared" si="54"/>
        <v>20</v>
      </c>
    </row>
    <row r="268" spans="1:15" ht="16.5" customHeight="1" thickTop="1" x14ac:dyDescent="0.15">
      <c r="A268" s="250"/>
      <c r="B268" s="169" t="s">
        <v>159</v>
      </c>
      <c r="C268" s="110">
        <f>IF(C256="","",C256-SUM(C257:C264))</f>
        <v>226179</v>
      </c>
      <c r="D268" s="110">
        <v>233773</v>
      </c>
      <c r="E268" s="110">
        <v>335210</v>
      </c>
      <c r="F268" s="110">
        <v>268984</v>
      </c>
      <c r="G268" s="110">
        <v>317715</v>
      </c>
      <c r="H268" s="110" t="str">
        <f t="shared" ref="H268:M268" si="55">IF(H256="","",H256-SUM(H257:H264))</f>
        <v/>
      </c>
      <c r="I268" s="110" t="str">
        <f t="shared" si="55"/>
        <v/>
      </c>
      <c r="J268" s="110" t="str">
        <f t="shared" si="55"/>
        <v/>
      </c>
      <c r="K268" s="110" t="str">
        <f t="shared" si="55"/>
        <v/>
      </c>
      <c r="L268" s="110" t="str">
        <f t="shared" si="55"/>
        <v/>
      </c>
      <c r="M268" s="110" t="str">
        <f t="shared" si="55"/>
        <v/>
      </c>
      <c r="N268" s="110" t="str">
        <f>IF(N256="","",N256-SUM(N257:N264))</f>
        <v/>
      </c>
      <c r="O268" s="110">
        <f>IF(O256="","",O256-SUM(O257:O264))</f>
        <v>1381861</v>
      </c>
    </row>
    <row r="269" spans="1:15" ht="16.5" customHeight="1" thickBot="1" x14ac:dyDescent="0.2">
      <c r="A269" s="253"/>
      <c r="B269" s="170" t="s">
        <v>160</v>
      </c>
      <c r="C269" s="112">
        <f>IF(C256="","",IF(C256=0,"―     ",C268/C256))</f>
        <v>0.18053965775698161</v>
      </c>
      <c r="D269" s="112">
        <v>0.1758147790216259</v>
      </c>
      <c r="E269" s="112">
        <v>0.2205160658791829</v>
      </c>
      <c r="F269" s="112">
        <v>0.18443129045816417</v>
      </c>
      <c r="G269" s="112">
        <v>0.19629097388347402</v>
      </c>
      <c r="H269" s="112" t="str">
        <f t="shared" ref="H269:N269" si="56">IF(H256="","",IF(H256=0,"―     ",H268/H256))</f>
        <v/>
      </c>
      <c r="I269" s="112" t="str">
        <f t="shared" si="56"/>
        <v/>
      </c>
      <c r="J269" s="112" t="str">
        <f t="shared" si="56"/>
        <v/>
      </c>
      <c r="K269" s="112" t="str">
        <f t="shared" si="56"/>
        <v/>
      </c>
      <c r="L269" s="112" t="str">
        <f t="shared" si="56"/>
        <v/>
      </c>
      <c r="M269" s="112" t="str">
        <f t="shared" si="56"/>
        <v/>
      </c>
      <c r="N269" s="112" t="str">
        <f t="shared" si="56"/>
        <v/>
      </c>
      <c r="O269" s="112">
        <f>IF(O256="","",IF(O256=0,"―     ",O268/O256))</f>
        <v>0.1924702574290964</v>
      </c>
    </row>
    <row r="270" spans="1:15" ht="16.5" customHeight="1" x14ac:dyDescent="0.15">
      <c r="A270" s="251"/>
      <c r="B270" s="164" t="s">
        <v>21</v>
      </c>
      <c r="C270" s="102">
        <v>11746776</v>
      </c>
      <c r="D270" s="102">
        <v>11928209</v>
      </c>
      <c r="E270" s="102">
        <v>12109876</v>
      </c>
      <c r="F270" s="102">
        <v>12667018</v>
      </c>
      <c r="G270" s="102">
        <v>13004600</v>
      </c>
      <c r="H270" s="102"/>
      <c r="I270" s="102"/>
      <c r="J270" s="102"/>
      <c r="K270" s="102"/>
      <c r="L270" s="102"/>
      <c r="M270" s="102"/>
      <c r="N270" s="102"/>
      <c r="O270" s="103">
        <f>SUM(C270:N270)</f>
        <v>61456479</v>
      </c>
    </row>
    <row r="271" spans="1:15" ht="16.5" customHeight="1" x14ac:dyDescent="0.15">
      <c r="A271" s="247"/>
      <c r="B271" s="166" t="s">
        <v>155</v>
      </c>
      <c r="C271" s="105">
        <v>7170208</v>
      </c>
      <c r="D271" s="105">
        <v>7625698</v>
      </c>
      <c r="E271" s="105">
        <v>8142859</v>
      </c>
      <c r="F271" s="105">
        <v>8094399</v>
      </c>
      <c r="G271" s="105">
        <v>7799727</v>
      </c>
      <c r="H271" s="105"/>
      <c r="I271" s="105"/>
      <c r="J271" s="105"/>
      <c r="K271" s="105"/>
      <c r="L271" s="105"/>
      <c r="M271" s="105"/>
      <c r="N271" s="105"/>
      <c r="O271" s="105">
        <f t="shared" ref="O271:O281" si="57">SUM(C271:N271)</f>
        <v>38832891</v>
      </c>
    </row>
    <row r="272" spans="1:15" ht="16.5" customHeight="1" x14ac:dyDescent="0.15">
      <c r="A272" s="247"/>
      <c r="B272" s="166" t="s">
        <v>156</v>
      </c>
      <c r="C272" s="105">
        <v>95000</v>
      </c>
      <c r="D272" s="105">
        <v>95000</v>
      </c>
      <c r="E272" s="105">
        <v>95000</v>
      </c>
      <c r="F272" s="105">
        <v>95000</v>
      </c>
      <c r="G272" s="105">
        <v>95000</v>
      </c>
      <c r="H272" s="105"/>
      <c r="I272" s="105"/>
      <c r="J272" s="105"/>
      <c r="K272" s="105"/>
      <c r="L272" s="105"/>
      <c r="M272" s="105"/>
      <c r="N272" s="105"/>
      <c r="O272" s="105">
        <f t="shared" si="57"/>
        <v>475000</v>
      </c>
    </row>
    <row r="273" spans="1:15" ht="16.5" customHeight="1" x14ac:dyDescent="0.15">
      <c r="A273" s="247"/>
      <c r="B273" s="166" t="s">
        <v>26</v>
      </c>
      <c r="C273" s="105">
        <v>618480</v>
      </c>
      <c r="D273" s="105">
        <v>656860</v>
      </c>
      <c r="E273" s="105">
        <v>708760</v>
      </c>
      <c r="F273" s="105">
        <v>702980</v>
      </c>
      <c r="G273" s="105">
        <v>671940</v>
      </c>
      <c r="H273" s="105"/>
      <c r="I273" s="105"/>
      <c r="J273" s="105"/>
      <c r="K273" s="105"/>
      <c r="L273" s="105"/>
      <c r="M273" s="105"/>
      <c r="N273" s="105"/>
      <c r="O273" s="105">
        <f t="shared" si="57"/>
        <v>3359020</v>
      </c>
    </row>
    <row r="274" spans="1:15" ht="16.5" customHeight="1" x14ac:dyDescent="0.15">
      <c r="A274" s="247"/>
      <c r="B274" s="166" t="s">
        <v>66</v>
      </c>
      <c r="C274" s="106">
        <v>46715</v>
      </c>
      <c r="D274" s="105">
        <v>38753</v>
      </c>
      <c r="E274" s="105">
        <v>33489</v>
      </c>
      <c r="F274" s="105">
        <v>24531</v>
      </c>
      <c r="G274" s="105">
        <v>32312</v>
      </c>
      <c r="H274" s="105"/>
      <c r="I274" s="106"/>
      <c r="J274" s="106"/>
      <c r="K274" s="106"/>
      <c r="L274" s="106"/>
      <c r="M274" s="106"/>
      <c r="N274" s="106"/>
      <c r="O274" s="105">
        <f t="shared" si="57"/>
        <v>175800</v>
      </c>
    </row>
    <row r="275" spans="1:15" ht="16.5" customHeight="1" x14ac:dyDescent="0.15">
      <c r="A275" s="247"/>
      <c r="B275" s="166" t="s">
        <v>22</v>
      </c>
      <c r="C275" s="105">
        <v>401395</v>
      </c>
      <c r="D275" s="105">
        <v>408940</v>
      </c>
      <c r="E275" s="105">
        <v>393850</v>
      </c>
      <c r="F275" s="105">
        <v>393347</v>
      </c>
      <c r="G275" s="105">
        <v>391838</v>
      </c>
      <c r="H275" s="105"/>
      <c r="I275" s="105"/>
      <c r="J275" s="105"/>
      <c r="K275" s="105"/>
      <c r="L275" s="105"/>
      <c r="M275" s="105"/>
      <c r="N275" s="105"/>
      <c r="O275" s="105">
        <f t="shared" si="57"/>
        <v>1989370</v>
      </c>
    </row>
    <row r="276" spans="1:15" ht="16.5" customHeight="1" x14ac:dyDescent="0.15">
      <c r="A276" s="247"/>
      <c r="B276" s="166" t="s">
        <v>67</v>
      </c>
      <c r="C276" s="105">
        <v>57091</v>
      </c>
      <c r="D276" s="105">
        <v>58253</v>
      </c>
      <c r="E276" s="105">
        <v>55929</v>
      </c>
      <c r="F276" s="105">
        <v>55852</v>
      </c>
      <c r="G276" s="105">
        <v>56936</v>
      </c>
      <c r="H276" s="105"/>
      <c r="I276" s="105"/>
      <c r="J276" s="105"/>
      <c r="K276" s="105"/>
      <c r="L276" s="105"/>
      <c r="M276" s="105"/>
      <c r="N276" s="105"/>
      <c r="O276" s="105">
        <f t="shared" si="57"/>
        <v>284061</v>
      </c>
    </row>
    <row r="277" spans="1:15" ht="16.5" customHeight="1" x14ac:dyDescent="0.15">
      <c r="A277" s="247"/>
      <c r="B277" s="166" t="s">
        <v>23</v>
      </c>
      <c r="C277" s="105">
        <v>668958</v>
      </c>
      <c r="D277" s="105">
        <v>681532</v>
      </c>
      <c r="E277" s="105">
        <v>656384</v>
      </c>
      <c r="F277" s="105">
        <v>655546</v>
      </c>
      <c r="G277" s="105">
        <v>653030</v>
      </c>
      <c r="H277" s="105"/>
      <c r="I277" s="105"/>
      <c r="J277" s="105"/>
      <c r="K277" s="105"/>
      <c r="L277" s="105"/>
      <c r="M277" s="105"/>
      <c r="N277" s="105"/>
      <c r="O277" s="105">
        <f t="shared" si="57"/>
        <v>3315450</v>
      </c>
    </row>
    <row r="278" spans="1:15" ht="16.5" customHeight="1" x14ac:dyDescent="0.15">
      <c r="A278" s="247"/>
      <c r="B278" s="166" t="s">
        <v>157</v>
      </c>
      <c r="C278" s="105">
        <v>61338</v>
      </c>
      <c r="D278" s="105">
        <v>66997</v>
      </c>
      <c r="E278" s="105">
        <v>71575</v>
      </c>
      <c r="F278" s="105">
        <v>71259</v>
      </c>
      <c r="G278" s="105">
        <v>68551</v>
      </c>
      <c r="H278" s="105"/>
      <c r="I278" s="105"/>
      <c r="J278" s="105"/>
      <c r="K278" s="105"/>
      <c r="L278" s="105"/>
      <c r="M278" s="105"/>
      <c r="N278" s="105"/>
      <c r="O278" s="105">
        <f t="shared" si="57"/>
        <v>339720</v>
      </c>
    </row>
    <row r="279" spans="1:15" ht="16.5" customHeight="1" x14ac:dyDescent="0.15">
      <c r="A279" s="247"/>
      <c r="B279" s="166" t="s">
        <v>158</v>
      </c>
      <c r="C279" s="105">
        <v>7930403</v>
      </c>
      <c r="D279" s="105">
        <v>8416311</v>
      </c>
      <c r="E279" s="105">
        <v>8980108</v>
      </c>
      <c r="F279" s="105">
        <v>8916910</v>
      </c>
      <c r="G279" s="105">
        <v>8598979</v>
      </c>
      <c r="H279" s="105"/>
      <c r="I279" s="105"/>
      <c r="J279" s="105"/>
      <c r="K279" s="105"/>
      <c r="L279" s="105"/>
      <c r="M279" s="105"/>
      <c r="N279" s="105"/>
      <c r="O279" s="105">
        <f t="shared" si="57"/>
        <v>42842711</v>
      </c>
    </row>
    <row r="280" spans="1:15" ht="16.5" customHeight="1" x14ac:dyDescent="0.15">
      <c r="A280" s="247"/>
      <c r="B280" s="171"/>
      <c r="C280" s="107"/>
      <c r="D280" s="107">
        <v>53</v>
      </c>
      <c r="E280" s="107">
        <v>55</v>
      </c>
      <c r="F280" s="107">
        <v>58</v>
      </c>
      <c r="G280" s="107">
        <v>54</v>
      </c>
      <c r="H280" s="107"/>
      <c r="I280" s="107"/>
      <c r="J280" s="107"/>
      <c r="K280" s="107"/>
      <c r="L280" s="107"/>
      <c r="M280" s="107"/>
      <c r="N280" s="107"/>
      <c r="O280" s="107"/>
    </row>
    <row r="281" spans="1:15" ht="16.5" customHeight="1" thickBot="1" x14ac:dyDescent="0.2">
      <c r="A281" s="247"/>
      <c r="B281" s="171" t="s">
        <v>171</v>
      </c>
      <c r="C281" s="107">
        <v>36</v>
      </c>
      <c r="D281" s="107">
        <v>32</v>
      </c>
      <c r="E281" s="107">
        <v>36</v>
      </c>
      <c r="F281" s="107">
        <v>25</v>
      </c>
      <c r="G281" s="107">
        <v>23</v>
      </c>
      <c r="H281" s="107"/>
      <c r="I281" s="107"/>
      <c r="J281" s="107"/>
      <c r="K281" s="107"/>
      <c r="L281" s="107"/>
      <c r="M281" s="107"/>
      <c r="N281" s="107"/>
      <c r="O281" s="168">
        <f t="shared" si="57"/>
        <v>152</v>
      </c>
    </row>
    <row r="282" spans="1:15" ht="16.5" customHeight="1" thickTop="1" x14ac:dyDescent="0.15">
      <c r="A282" s="247"/>
      <c r="B282" s="169" t="s">
        <v>159</v>
      </c>
      <c r="C282" s="110">
        <f>IF(C270="","",C270-SUM(C271:C278))</f>
        <v>2627591</v>
      </c>
      <c r="D282" s="110">
        <v>2296176</v>
      </c>
      <c r="E282" s="110">
        <v>1952030</v>
      </c>
      <c r="F282" s="110">
        <v>2574104</v>
      </c>
      <c r="G282" s="110">
        <v>3235266</v>
      </c>
      <c r="H282" s="110" t="str">
        <f t="shared" ref="H282:M282" si="58">IF(H270="","",H270-SUM(H271:H278))</f>
        <v/>
      </c>
      <c r="I282" s="110" t="str">
        <f t="shared" si="58"/>
        <v/>
      </c>
      <c r="J282" s="110" t="str">
        <f t="shared" si="58"/>
        <v/>
      </c>
      <c r="K282" s="110" t="str">
        <f t="shared" si="58"/>
        <v/>
      </c>
      <c r="L282" s="110" t="str">
        <f t="shared" si="58"/>
        <v/>
      </c>
      <c r="M282" s="110" t="str">
        <f t="shared" si="58"/>
        <v/>
      </c>
      <c r="N282" s="110" t="str">
        <f>IF(N270="","",N270-SUM(N271:N278))</f>
        <v/>
      </c>
      <c r="O282" s="110">
        <f>IF(O270="","",O270-SUM(O271:O278))</f>
        <v>12685167</v>
      </c>
    </row>
    <row r="283" spans="1:15" ht="16.5" customHeight="1" thickBot="1" x14ac:dyDescent="0.2">
      <c r="A283" s="248"/>
      <c r="B283" s="170" t="s">
        <v>160</v>
      </c>
      <c r="C283" s="112">
        <f>IF(C270="","",IF(C270=0,"―     ",C282/C270))</f>
        <v>0.22368614162728565</v>
      </c>
      <c r="D283" s="112">
        <v>0.19249964516885981</v>
      </c>
      <c r="E283" s="112">
        <v>0.16119322774238151</v>
      </c>
      <c r="F283" s="112">
        <v>0.20321310035242707</v>
      </c>
      <c r="G283" s="112">
        <v>0.24877858603878628</v>
      </c>
      <c r="H283" s="112" t="str">
        <f t="shared" ref="H283:N283" si="59">IF(H270="","",IF(H270=0,"―     ",H282/H270))</f>
        <v/>
      </c>
      <c r="I283" s="112" t="str">
        <f t="shared" si="59"/>
        <v/>
      </c>
      <c r="J283" s="112" t="str">
        <f t="shared" si="59"/>
        <v/>
      </c>
      <c r="K283" s="112" t="str">
        <f t="shared" si="59"/>
        <v/>
      </c>
      <c r="L283" s="112" t="str">
        <f t="shared" si="59"/>
        <v/>
      </c>
      <c r="M283" s="112" t="str">
        <f t="shared" si="59"/>
        <v/>
      </c>
      <c r="N283" s="112" t="str">
        <f t="shared" si="59"/>
        <v/>
      </c>
      <c r="O283" s="112">
        <f>IF(O270="","",IF(O270=0,"―     ",O282/O270))</f>
        <v>0.20640894510080865</v>
      </c>
    </row>
    <row r="284" spans="1:15" ht="16.5" customHeight="1" x14ac:dyDescent="0.15">
      <c r="A284" s="251"/>
      <c r="B284" s="164" t="s">
        <v>21</v>
      </c>
      <c r="C284" s="102">
        <v>8517807</v>
      </c>
      <c r="D284" s="102">
        <v>8586774</v>
      </c>
      <c r="E284" s="102">
        <v>8605013</v>
      </c>
      <c r="F284" s="102">
        <v>8655343</v>
      </c>
      <c r="G284" s="102">
        <v>8603847</v>
      </c>
      <c r="H284" s="102"/>
      <c r="I284" s="102"/>
      <c r="J284" s="102"/>
      <c r="K284" s="102"/>
      <c r="L284" s="102"/>
      <c r="M284" s="102"/>
      <c r="N284" s="102"/>
      <c r="O284" s="103">
        <f>SUM(C284:N284)</f>
        <v>42968784</v>
      </c>
    </row>
    <row r="285" spans="1:15" ht="16.5" customHeight="1" x14ac:dyDescent="0.15">
      <c r="A285" s="247"/>
      <c r="B285" s="166" t="s">
        <v>155</v>
      </c>
      <c r="C285" s="105">
        <v>5059654</v>
      </c>
      <c r="D285" s="105">
        <v>5288585</v>
      </c>
      <c r="E285" s="105">
        <v>5420173</v>
      </c>
      <c r="F285" s="105">
        <v>5358693</v>
      </c>
      <c r="G285" s="105">
        <v>5174135</v>
      </c>
      <c r="H285" s="105"/>
      <c r="I285" s="105"/>
      <c r="J285" s="105"/>
      <c r="K285" s="105"/>
      <c r="L285" s="105"/>
      <c r="M285" s="105"/>
      <c r="N285" s="105"/>
      <c r="O285" s="105">
        <f t="shared" ref="O285:O295" si="60">SUM(C285:N285)</f>
        <v>26301240</v>
      </c>
    </row>
    <row r="286" spans="1:15" ht="16.5" customHeight="1" x14ac:dyDescent="0.15">
      <c r="A286" s="247"/>
      <c r="B286" s="166" t="s">
        <v>156</v>
      </c>
      <c r="C286" s="105">
        <v>20000</v>
      </c>
      <c r="D286" s="105">
        <v>20000</v>
      </c>
      <c r="E286" s="105">
        <v>20000</v>
      </c>
      <c r="F286" s="105">
        <v>20000</v>
      </c>
      <c r="G286" s="105">
        <v>20000</v>
      </c>
      <c r="H286" s="105"/>
      <c r="I286" s="105"/>
      <c r="J286" s="105"/>
      <c r="K286" s="105"/>
      <c r="L286" s="105"/>
      <c r="M286" s="105"/>
      <c r="N286" s="105"/>
      <c r="O286" s="105">
        <f t="shared" si="60"/>
        <v>100000</v>
      </c>
    </row>
    <row r="287" spans="1:15" ht="16.5" customHeight="1" x14ac:dyDescent="0.15">
      <c r="A287" s="247"/>
      <c r="B287" s="166" t="s">
        <v>26</v>
      </c>
      <c r="C287" s="105">
        <v>326220</v>
      </c>
      <c r="D287" s="105">
        <v>344800</v>
      </c>
      <c r="E287" s="105">
        <v>353790</v>
      </c>
      <c r="F287" s="105">
        <v>356360</v>
      </c>
      <c r="G287" s="105">
        <v>331210</v>
      </c>
      <c r="H287" s="105"/>
      <c r="I287" s="105"/>
      <c r="J287" s="105"/>
      <c r="K287" s="105"/>
      <c r="L287" s="105"/>
      <c r="M287" s="105"/>
      <c r="N287" s="105"/>
      <c r="O287" s="105">
        <f t="shared" si="60"/>
        <v>1712380</v>
      </c>
    </row>
    <row r="288" spans="1:15" ht="16.5" customHeight="1" x14ac:dyDescent="0.15">
      <c r="A288" s="247"/>
      <c r="B288" s="166" t="s">
        <v>66</v>
      </c>
      <c r="C288" s="106">
        <v>15881</v>
      </c>
      <c r="D288" s="105">
        <v>14416</v>
      </c>
      <c r="E288" s="105">
        <v>40426</v>
      </c>
      <c r="F288" s="105">
        <v>6304</v>
      </c>
      <c r="G288" s="105">
        <v>20618</v>
      </c>
      <c r="H288" s="105"/>
      <c r="I288" s="106"/>
      <c r="J288" s="106"/>
      <c r="K288" s="106"/>
      <c r="L288" s="106"/>
      <c r="M288" s="106"/>
      <c r="N288" s="106"/>
      <c r="O288" s="105">
        <f t="shared" si="60"/>
        <v>97645</v>
      </c>
    </row>
    <row r="289" spans="1:15" ht="16.5" customHeight="1" x14ac:dyDescent="0.15">
      <c r="A289" s="247"/>
      <c r="B289" s="166" t="s">
        <v>22</v>
      </c>
      <c r="C289" s="105">
        <v>272527</v>
      </c>
      <c r="D289" s="105">
        <v>272527</v>
      </c>
      <c r="E289" s="105">
        <v>264982</v>
      </c>
      <c r="F289" s="105">
        <v>263574</v>
      </c>
      <c r="G289" s="105">
        <v>279167</v>
      </c>
      <c r="H289" s="105"/>
      <c r="I289" s="105"/>
      <c r="J289" s="105"/>
      <c r="K289" s="105"/>
      <c r="L289" s="105"/>
      <c r="M289" s="105"/>
      <c r="N289" s="105"/>
      <c r="O289" s="105">
        <f t="shared" si="60"/>
        <v>1352777</v>
      </c>
    </row>
    <row r="290" spans="1:15" ht="16.5" customHeight="1" x14ac:dyDescent="0.15">
      <c r="A290" s="247"/>
      <c r="B290" s="166" t="s">
        <v>67</v>
      </c>
      <c r="C290" s="105">
        <v>34821</v>
      </c>
      <c r="D290" s="105">
        <v>34821</v>
      </c>
      <c r="E290" s="105">
        <v>33659</v>
      </c>
      <c r="F290" s="105">
        <v>33442</v>
      </c>
      <c r="G290" s="105">
        <v>34604</v>
      </c>
      <c r="H290" s="105"/>
      <c r="I290" s="105"/>
      <c r="J290" s="105"/>
      <c r="K290" s="105"/>
      <c r="L290" s="105"/>
      <c r="M290" s="105"/>
      <c r="N290" s="105"/>
      <c r="O290" s="105">
        <f t="shared" si="60"/>
        <v>171347</v>
      </c>
    </row>
    <row r="291" spans="1:15" ht="16.5" customHeight="1" x14ac:dyDescent="0.15">
      <c r="A291" s="247"/>
      <c r="B291" s="166" t="s">
        <v>23</v>
      </c>
      <c r="C291" s="105">
        <v>454188</v>
      </c>
      <c r="D291" s="105">
        <v>454188</v>
      </c>
      <c r="E291" s="105">
        <v>441614</v>
      </c>
      <c r="F291" s="105">
        <v>439267</v>
      </c>
      <c r="G291" s="105">
        <v>465254</v>
      </c>
      <c r="H291" s="105"/>
      <c r="I291" s="105"/>
      <c r="J291" s="105"/>
      <c r="K291" s="105"/>
      <c r="L291" s="105"/>
      <c r="M291" s="105"/>
      <c r="N291" s="105"/>
      <c r="O291" s="105">
        <f t="shared" si="60"/>
        <v>2254511</v>
      </c>
    </row>
    <row r="292" spans="1:15" ht="16.5" customHeight="1" x14ac:dyDescent="0.15">
      <c r="A292" s="247"/>
      <c r="B292" s="166" t="s">
        <v>157</v>
      </c>
      <c r="C292" s="105">
        <v>41597</v>
      </c>
      <c r="D292" s="105">
        <v>46659</v>
      </c>
      <c r="E292" s="105">
        <v>48080</v>
      </c>
      <c r="F292" s="105">
        <v>46624</v>
      </c>
      <c r="G292" s="105">
        <v>45332</v>
      </c>
      <c r="H292" s="105"/>
      <c r="I292" s="105"/>
      <c r="J292" s="105"/>
      <c r="K292" s="105"/>
      <c r="L292" s="105"/>
      <c r="M292" s="105"/>
      <c r="N292" s="105"/>
      <c r="O292" s="105">
        <f t="shared" si="60"/>
        <v>228292</v>
      </c>
    </row>
    <row r="293" spans="1:15" ht="16.5" customHeight="1" x14ac:dyDescent="0.15">
      <c r="A293" s="247"/>
      <c r="B293" s="166" t="s">
        <v>158</v>
      </c>
      <c r="C293" s="105">
        <v>5421755</v>
      </c>
      <c r="D293" s="105">
        <v>5667801</v>
      </c>
      <c r="E293" s="105">
        <v>5834389</v>
      </c>
      <c r="F293" s="105">
        <v>5741357</v>
      </c>
      <c r="G293" s="105">
        <v>5545963</v>
      </c>
      <c r="H293" s="105"/>
      <c r="I293" s="105"/>
      <c r="J293" s="105"/>
      <c r="K293" s="105"/>
      <c r="L293" s="105"/>
      <c r="M293" s="105"/>
      <c r="N293" s="105"/>
      <c r="O293" s="105">
        <f t="shared" si="60"/>
        <v>28211265</v>
      </c>
    </row>
    <row r="294" spans="1:15" ht="16.5" customHeight="1" x14ac:dyDescent="0.15">
      <c r="A294" s="247"/>
      <c r="B294" s="171"/>
      <c r="C294" s="107"/>
      <c r="D294" s="107">
        <v>38</v>
      </c>
      <c r="E294" s="107">
        <v>38</v>
      </c>
      <c r="F294" s="107">
        <v>35</v>
      </c>
      <c r="G294" s="107">
        <v>37</v>
      </c>
      <c r="H294" s="107"/>
      <c r="I294" s="107"/>
      <c r="J294" s="107"/>
      <c r="K294" s="107"/>
      <c r="L294" s="107"/>
      <c r="M294" s="107"/>
      <c r="N294" s="107"/>
      <c r="O294" s="107"/>
    </row>
    <row r="295" spans="1:15" ht="16.5" customHeight="1" thickBot="1" x14ac:dyDescent="0.2">
      <c r="A295" s="247"/>
      <c r="B295" s="171" t="s">
        <v>171</v>
      </c>
      <c r="C295" s="107">
        <v>18</v>
      </c>
      <c r="D295" s="107">
        <v>13</v>
      </c>
      <c r="E295" s="107">
        <v>14</v>
      </c>
      <c r="F295" s="107">
        <v>7</v>
      </c>
      <c r="G295" s="107">
        <v>18</v>
      </c>
      <c r="H295" s="107"/>
      <c r="I295" s="107"/>
      <c r="J295" s="107"/>
      <c r="K295" s="107"/>
      <c r="L295" s="107"/>
      <c r="M295" s="107"/>
      <c r="N295" s="107"/>
      <c r="O295" s="168">
        <f t="shared" si="60"/>
        <v>70</v>
      </c>
    </row>
    <row r="296" spans="1:15" ht="16.5" customHeight="1" thickTop="1" x14ac:dyDescent="0.15">
      <c r="A296" s="247"/>
      <c r="B296" s="169" t="s">
        <v>159</v>
      </c>
      <c r="C296" s="110">
        <f>IF(C284="","",C284-SUM(C285:C292))</f>
        <v>2292919</v>
      </c>
      <c r="D296" s="110">
        <v>2110778</v>
      </c>
      <c r="E296" s="110">
        <v>1982289</v>
      </c>
      <c r="F296" s="110">
        <v>2131079</v>
      </c>
      <c r="G296" s="110">
        <v>2233527</v>
      </c>
      <c r="H296" s="110" t="str">
        <f t="shared" ref="H296:M296" si="61">IF(H284="","",H284-SUM(H285:H292))</f>
        <v/>
      </c>
      <c r="I296" s="110" t="str">
        <f t="shared" si="61"/>
        <v/>
      </c>
      <c r="J296" s="110" t="str">
        <f t="shared" si="61"/>
        <v/>
      </c>
      <c r="K296" s="110" t="str">
        <f t="shared" si="61"/>
        <v/>
      </c>
      <c r="L296" s="110" t="str">
        <f t="shared" si="61"/>
        <v/>
      </c>
      <c r="M296" s="110" t="str">
        <f t="shared" si="61"/>
        <v/>
      </c>
      <c r="N296" s="110" t="str">
        <f>IF(N284="","",N284-SUM(N285:N292))</f>
        <v/>
      </c>
      <c r="O296" s="110">
        <f>IF(O284="","",O284-SUM(O285:O292))</f>
        <v>10750592</v>
      </c>
    </row>
    <row r="297" spans="1:15" ht="16.5" customHeight="1" thickBot="1" x14ac:dyDescent="0.2">
      <c r="A297" s="248"/>
      <c r="B297" s="170" t="s">
        <v>160</v>
      </c>
      <c r="C297" s="112">
        <f>IF(C284="","",IF(C284=0,"―     ",C296/C284))</f>
        <v>0.26919123666455463</v>
      </c>
      <c r="D297" s="112">
        <v>0.24581734653782666</v>
      </c>
      <c r="E297" s="112">
        <v>0.23036443989102631</v>
      </c>
      <c r="F297" s="112">
        <v>0.24621543016839426</v>
      </c>
      <c r="G297" s="112">
        <v>0.25959631778668307</v>
      </c>
      <c r="H297" s="112" t="str">
        <f t="shared" ref="H297:N297" si="62">IF(H284="","",IF(H284=0,"―     ",H296/H284))</f>
        <v/>
      </c>
      <c r="I297" s="112" t="str">
        <f t="shared" si="62"/>
        <v/>
      </c>
      <c r="J297" s="112" t="str">
        <f t="shared" si="62"/>
        <v/>
      </c>
      <c r="K297" s="112" t="str">
        <f t="shared" si="62"/>
        <v/>
      </c>
      <c r="L297" s="112" t="str">
        <f t="shared" si="62"/>
        <v/>
      </c>
      <c r="M297" s="112" t="str">
        <f t="shared" si="62"/>
        <v/>
      </c>
      <c r="N297" s="112" t="str">
        <f t="shared" si="62"/>
        <v/>
      </c>
      <c r="O297" s="112">
        <f>IF(O284="","",IF(O284=0,"―     ",O296/O284))</f>
        <v>0.25019539766356896</v>
      </c>
    </row>
    <row r="298" spans="1:15" ht="16.5" customHeight="1" x14ac:dyDescent="0.15">
      <c r="A298" s="254"/>
      <c r="B298" s="164" t="s">
        <v>21</v>
      </c>
      <c r="C298" s="102">
        <v>4118179</v>
      </c>
      <c r="D298" s="102">
        <v>4073821</v>
      </c>
      <c r="E298" s="102">
        <v>4281248</v>
      </c>
      <c r="F298" s="102">
        <v>4357214</v>
      </c>
      <c r="G298" s="102">
        <v>4437332</v>
      </c>
      <c r="H298" s="102"/>
      <c r="I298" s="102"/>
      <c r="J298" s="102"/>
      <c r="K298" s="102"/>
      <c r="L298" s="102"/>
      <c r="M298" s="102"/>
      <c r="N298" s="102"/>
      <c r="O298" s="103">
        <f>SUM(C298:N298)</f>
        <v>21267794</v>
      </c>
    </row>
    <row r="299" spans="1:15" ht="16.5" customHeight="1" x14ac:dyDescent="0.15">
      <c r="A299" s="247"/>
      <c r="B299" s="166" t="s">
        <v>155</v>
      </c>
      <c r="C299" s="105">
        <v>2393559</v>
      </c>
      <c r="D299" s="105">
        <v>2499642</v>
      </c>
      <c r="E299" s="105">
        <v>2676693</v>
      </c>
      <c r="F299" s="105">
        <v>2722467</v>
      </c>
      <c r="G299" s="105">
        <v>2628486</v>
      </c>
      <c r="H299" s="105"/>
      <c r="I299" s="105"/>
      <c r="J299" s="105"/>
      <c r="K299" s="105"/>
      <c r="L299" s="105"/>
      <c r="M299" s="105"/>
      <c r="N299" s="105"/>
      <c r="O299" s="105">
        <f t="shared" ref="O299:O309" si="63">SUM(C299:N299)</f>
        <v>12920847</v>
      </c>
    </row>
    <row r="300" spans="1:15" ht="16.5" customHeight="1" x14ac:dyDescent="0.15">
      <c r="A300" s="247"/>
      <c r="B300" s="166" t="s">
        <v>156</v>
      </c>
      <c r="C300" s="105">
        <v>3000</v>
      </c>
      <c r="D300" s="105">
        <v>3000</v>
      </c>
      <c r="E300" s="105">
        <v>5000</v>
      </c>
      <c r="F300" s="105">
        <v>5000</v>
      </c>
      <c r="G300" s="105">
        <v>5000</v>
      </c>
      <c r="H300" s="105"/>
      <c r="I300" s="105"/>
      <c r="J300" s="105"/>
      <c r="K300" s="105"/>
      <c r="L300" s="105"/>
      <c r="M300" s="105"/>
      <c r="N300" s="105"/>
      <c r="O300" s="105">
        <f t="shared" si="63"/>
        <v>21000</v>
      </c>
    </row>
    <row r="301" spans="1:15" ht="16.5" customHeight="1" x14ac:dyDescent="0.15">
      <c r="A301" s="247"/>
      <c r="B301" s="166" t="s">
        <v>26</v>
      </c>
      <c r="C301" s="105">
        <v>177580</v>
      </c>
      <c r="D301" s="105">
        <v>186180</v>
      </c>
      <c r="E301" s="105">
        <v>192520</v>
      </c>
      <c r="F301" s="105">
        <v>197000</v>
      </c>
      <c r="G301" s="105">
        <v>185430</v>
      </c>
      <c r="H301" s="105"/>
      <c r="I301" s="105"/>
      <c r="J301" s="105"/>
      <c r="K301" s="105"/>
      <c r="L301" s="105"/>
      <c r="M301" s="105"/>
      <c r="N301" s="105"/>
      <c r="O301" s="105">
        <f t="shared" si="63"/>
        <v>938710</v>
      </c>
    </row>
    <row r="302" spans="1:15" ht="16.5" customHeight="1" x14ac:dyDescent="0.15">
      <c r="A302" s="247"/>
      <c r="B302" s="166" t="s">
        <v>66</v>
      </c>
      <c r="C302" s="106">
        <v>42804</v>
      </c>
      <c r="D302" s="105">
        <v>51144</v>
      </c>
      <c r="E302" s="105">
        <v>45753</v>
      </c>
      <c r="F302" s="105">
        <v>75235</v>
      </c>
      <c r="G302" s="105">
        <v>54434</v>
      </c>
      <c r="H302" s="105"/>
      <c r="I302" s="106"/>
      <c r="J302" s="106"/>
      <c r="K302" s="106"/>
      <c r="L302" s="106"/>
      <c r="M302" s="106"/>
      <c r="N302" s="106"/>
      <c r="O302" s="105">
        <f t="shared" si="63"/>
        <v>269370</v>
      </c>
    </row>
    <row r="303" spans="1:15" ht="16.5" customHeight="1" x14ac:dyDescent="0.15">
      <c r="A303" s="247"/>
      <c r="B303" s="166" t="s">
        <v>22</v>
      </c>
      <c r="C303" s="105">
        <v>132490</v>
      </c>
      <c r="D303" s="105">
        <v>132490</v>
      </c>
      <c r="E303" s="105">
        <v>132490</v>
      </c>
      <c r="F303" s="105">
        <v>132490</v>
      </c>
      <c r="G303" s="105">
        <v>132490</v>
      </c>
      <c r="H303" s="105"/>
      <c r="I303" s="105"/>
      <c r="J303" s="105"/>
      <c r="K303" s="105"/>
      <c r="L303" s="105"/>
      <c r="M303" s="105"/>
      <c r="N303" s="105"/>
      <c r="O303" s="105">
        <f t="shared" si="63"/>
        <v>662450</v>
      </c>
    </row>
    <row r="304" spans="1:15" ht="16.5" customHeight="1" x14ac:dyDescent="0.15">
      <c r="A304" s="247"/>
      <c r="B304" s="166" t="s">
        <v>67</v>
      </c>
      <c r="C304" s="105">
        <v>14491</v>
      </c>
      <c r="D304" s="105">
        <v>15731</v>
      </c>
      <c r="E304" s="105">
        <v>15731</v>
      </c>
      <c r="F304" s="105">
        <v>15731</v>
      </c>
      <c r="G304" s="105">
        <v>15731</v>
      </c>
      <c r="H304" s="105"/>
      <c r="I304" s="105"/>
      <c r="J304" s="105"/>
      <c r="K304" s="105"/>
      <c r="L304" s="105"/>
      <c r="M304" s="105"/>
      <c r="N304" s="105"/>
      <c r="O304" s="105">
        <f t="shared" si="63"/>
        <v>77415</v>
      </c>
    </row>
    <row r="305" spans="1:15" ht="16.5" customHeight="1" x14ac:dyDescent="0.15">
      <c r="A305" s="247"/>
      <c r="B305" s="166" t="s">
        <v>23</v>
      </c>
      <c r="C305" s="105">
        <v>220809</v>
      </c>
      <c r="D305" s="105">
        <v>220809</v>
      </c>
      <c r="E305" s="105">
        <v>220809</v>
      </c>
      <c r="F305" s="105">
        <v>220809</v>
      </c>
      <c r="G305" s="105">
        <v>220809</v>
      </c>
      <c r="H305" s="105"/>
      <c r="I305" s="105"/>
      <c r="J305" s="105"/>
      <c r="K305" s="105"/>
      <c r="L305" s="105"/>
      <c r="M305" s="105"/>
      <c r="N305" s="105"/>
      <c r="O305" s="105">
        <f t="shared" si="63"/>
        <v>1104045</v>
      </c>
    </row>
    <row r="306" spans="1:15" ht="16.5" customHeight="1" x14ac:dyDescent="0.15">
      <c r="A306" s="247"/>
      <c r="B306" s="166" t="s">
        <v>157</v>
      </c>
      <c r="C306" s="105">
        <v>19481</v>
      </c>
      <c r="D306" s="105">
        <v>21853</v>
      </c>
      <c r="E306" s="105">
        <v>23333</v>
      </c>
      <c r="F306" s="105">
        <v>24010</v>
      </c>
      <c r="G306" s="105">
        <v>22661</v>
      </c>
      <c r="H306" s="105"/>
      <c r="I306" s="105"/>
      <c r="J306" s="105"/>
      <c r="K306" s="105"/>
      <c r="L306" s="105"/>
      <c r="M306" s="105"/>
      <c r="N306" s="105"/>
      <c r="O306" s="105">
        <f t="shared" si="63"/>
        <v>111338</v>
      </c>
    </row>
    <row r="307" spans="1:15" ht="16.5" customHeight="1" x14ac:dyDescent="0.15">
      <c r="A307" s="247"/>
      <c r="B307" s="166" t="s">
        <v>158</v>
      </c>
      <c r="C307" s="105">
        <v>2616943</v>
      </c>
      <c r="D307" s="105">
        <v>2739966</v>
      </c>
      <c r="E307" s="105">
        <v>2919966</v>
      </c>
      <c r="F307" s="105">
        <v>2999702</v>
      </c>
      <c r="G307" s="105">
        <v>2873350</v>
      </c>
      <c r="H307" s="105"/>
      <c r="I307" s="105"/>
      <c r="J307" s="105"/>
      <c r="K307" s="105"/>
      <c r="L307" s="105"/>
      <c r="M307" s="105"/>
      <c r="N307" s="105"/>
      <c r="O307" s="105">
        <f t="shared" si="63"/>
        <v>14149927</v>
      </c>
    </row>
    <row r="308" spans="1:15" ht="16.5" customHeight="1" x14ac:dyDescent="0.15">
      <c r="A308" s="247"/>
      <c r="B308" s="171"/>
      <c r="C308" s="107"/>
      <c r="D308" s="107">
        <v>17</v>
      </c>
      <c r="E308" s="107">
        <v>17</v>
      </c>
      <c r="F308" s="107">
        <v>18</v>
      </c>
      <c r="G308" s="107">
        <v>19</v>
      </c>
      <c r="H308" s="107"/>
      <c r="I308" s="107"/>
      <c r="J308" s="107"/>
      <c r="K308" s="107"/>
      <c r="L308" s="107"/>
      <c r="M308" s="107"/>
      <c r="N308" s="107"/>
      <c r="O308" s="107"/>
    </row>
    <row r="309" spans="1:15" ht="16.5" customHeight="1" thickBot="1" x14ac:dyDescent="0.2">
      <c r="A309" s="247"/>
      <c r="B309" s="171" t="s">
        <v>171</v>
      </c>
      <c r="C309" s="107">
        <v>9</v>
      </c>
      <c r="D309" s="107">
        <v>13</v>
      </c>
      <c r="E309" s="107">
        <v>18</v>
      </c>
      <c r="F309" s="107">
        <v>15</v>
      </c>
      <c r="G309" s="107">
        <v>13</v>
      </c>
      <c r="H309" s="107"/>
      <c r="I309" s="107"/>
      <c r="J309" s="107"/>
      <c r="K309" s="107"/>
      <c r="L309" s="107"/>
      <c r="M309" s="107"/>
      <c r="N309" s="107"/>
      <c r="O309" s="168">
        <f t="shared" si="63"/>
        <v>68</v>
      </c>
    </row>
    <row r="310" spans="1:15" ht="16.5" customHeight="1" thickTop="1" x14ac:dyDescent="0.15">
      <c r="A310" s="247"/>
      <c r="B310" s="169" t="s">
        <v>159</v>
      </c>
      <c r="C310" s="110">
        <f>IF(C298="","",C298-SUM(C299:C306))</f>
        <v>1113965</v>
      </c>
      <c r="D310" s="110">
        <v>942972</v>
      </c>
      <c r="E310" s="110">
        <v>968919</v>
      </c>
      <c r="F310" s="110">
        <v>964472</v>
      </c>
      <c r="G310" s="110">
        <v>1172291</v>
      </c>
      <c r="H310" s="110" t="str">
        <f t="shared" ref="H310:M310" si="64">IF(H298="","",H298-SUM(H299:H306))</f>
        <v/>
      </c>
      <c r="I310" s="110" t="str">
        <f t="shared" si="64"/>
        <v/>
      </c>
      <c r="J310" s="110" t="str">
        <f t="shared" si="64"/>
        <v/>
      </c>
      <c r="K310" s="110" t="str">
        <f t="shared" si="64"/>
        <v/>
      </c>
      <c r="L310" s="110" t="str">
        <f t="shared" si="64"/>
        <v/>
      </c>
      <c r="M310" s="110" t="str">
        <f t="shared" si="64"/>
        <v/>
      </c>
      <c r="N310" s="110" t="str">
        <f>IF(N298="","",N298-SUM(N299:N306))</f>
        <v/>
      </c>
      <c r="O310" s="110">
        <f>IF(O298="","",O298-SUM(O299:O306))</f>
        <v>5162619</v>
      </c>
    </row>
    <row r="311" spans="1:15" ht="16.5" customHeight="1" thickBot="1" x14ac:dyDescent="0.2">
      <c r="A311" s="248"/>
      <c r="B311" s="170" t="s">
        <v>160</v>
      </c>
      <c r="C311" s="112">
        <f>IF(C298="","",IF(C298=0,"―     ",C310/C298))</f>
        <v>0.27049941248304166</v>
      </c>
      <c r="D311" s="112">
        <v>0.23147114220286066</v>
      </c>
      <c r="E311" s="112">
        <v>0.22631695244003619</v>
      </c>
      <c r="F311" s="112">
        <v>0.2213506153243793</v>
      </c>
      <c r="G311" s="112">
        <v>0.26418825546522101</v>
      </c>
      <c r="H311" s="112" t="str">
        <f t="shared" ref="H311:N311" si="65">IF(H298="","",IF(H298=0,"―     ",H310/H298))</f>
        <v/>
      </c>
      <c r="I311" s="112" t="str">
        <f t="shared" si="65"/>
        <v/>
      </c>
      <c r="J311" s="112" t="str">
        <f t="shared" si="65"/>
        <v/>
      </c>
      <c r="K311" s="112" t="str">
        <f t="shared" si="65"/>
        <v/>
      </c>
      <c r="L311" s="112" t="str">
        <f t="shared" si="65"/>
        <v/>
      </c>
      <c r="M311" s="112" t="str">
        <f t="shared" si="65"/>
        <v/>
      </c>
      <c r="N311" s="112" t="str">
        <f t="shared" si="65"/>
        <v/>
      </c>
      <c r="O311" s="112">
        <f>IF(O298="","",IF(O298=0,"―     ",O310/O298))</f>
        <v>0.24274351162137456</v>
      </c>
    </row>
    <row r="312" spans="1:15" ht="16.5" customHeight="1" x14ac:dyDescent="0.15">
      <c r="A312" s="251"/>
      <c r="B312" s="164" t="s">
        <v>21</v>
      </c>
      <c r="C312" s="102">
        <v>470250</v>
      </c>
      <c r="D312" s="102">
        <v>482625</v>
      </c>
      <c r="E312" s="102">
        <v>259875</v>
      </c>
      <c r="F312" s="102">
        <v>259875</v>
      </c>
      <c r="G312" s="102">
        <v>259875</v>
      </c>
      <c r="H312" s="102"/>
      <c r="I312" s="102"/>
      <c r="J312" s="102"/>
      <c r="K312" s="102"/>
      <c r="L312" s="102"/>
      <c r="M312" s="102"/>
      <c r="N312" s="102"/>
      <c r="O312" s="103">
        <f>SUM(C312:N312)</f>
        <v>1732500</v>
      </c>
    </row>
    <row r="313" spans="1:15" ht="16.5" customHeight="1" x14ac:dyDescent="0.15">
      <c r="A313" s="247"/>
      <c r="B313" s="166" t="s">
        <v>155</v>
      </c>
      <c r="C313" s="105">
        <v>285000</v>
      </c>
      <c r="D313" s="105">
        <v>292500</v>
      </c>
      <c r="E313" s="105">
        <v>157500</v>
      </c>
      <c r="F313" s="105">
        <v>157500</v>
      </c>
      <c r="G313" s="105">
        <v>157500</v>
      </c>
      <c r="H313" s="105"/>
      <c r="I313" s="105"/>
      <c r="J313" s="105"/>
      <c r="K313" s="105"/>
      <c r="L313" s="105"/>
      <c r="M313" s="105"/>
      <c r="N313" s="105"/>
      <c r="O313" s="105">
        <f t="shared" ref="O313:O323" si="66">SUM(C313:N313)</f>
        <v>1050000</v>
      </c>
    </row>
    <row r="314" spans="1:15" ht="16.5" customHeight="1" x14ac:dyDescent="0.15">
      <c r="A314" s="247"/>
      <c r="B314" s="166" t="s">
        <v>156</v>
      </c>
      <c r="C314" s="105">
        <v>0</v>
      </c>
      <c r="D314" s="105">
        <v>0</v>
      </c>
      <c r="E314" s="105">
        <v>0</v>
      </c>
      <c r="F314" s="105">
        <v>0</v>
      </c>
      <c r="G314" s="105">
        <v>0</v>
      </c>
      <c r="H314" s="105"/>
      <c r="I314" s="105"/>
      <c r="J314" s="105"/>
      <c r="K314" s="105"/>
      <c r="L314" s="105"/>
      <c r="M314" s="105"/>
      <c r="N314" s="105"/>
      <c r="O314" s="105">
        <f t="shared" si="66"/>
        <v>0</v>
      </c>
    </row>
    <row r="315" spans="1:15" ht="16.5" customHeight="1" x14ac:dyDescent="0.15">
      <c r="A315" s="247"/>
      <c r="B315" s="166" t="s">
        <v>26</v>
      </c>
      <c r="C315" s="105">
        <v>13300</v>
      </c>
      <c r="D315" s="105">
        <v>13500</v>
      </c>
      <c r="E315" s="105">
        <v>6300</v>
      </c>
      <c r="F315" s="105">
        <v>6300</v>
      </c>
      <c r="G315" s="105">
        <v>6300</v>
      </c>
      <c r="H315" s="105"/>
      <c r="I315" s="105"/>
      <c r="J315" s="105"/>
      <c r="K315" s="105"/>
      <c r="L315" s="105"/>
      <c r="M315" s="105"/>
      <c r="N315" s="105"/>
      <c r="O315" s="105">
        <f t="shared" si="66"/>
        <v>45700</v>
      </c>
    </row>
    <row r="316" spans="1:15" ht="16.5" customHeight="1" x14ac:dyDescent="0.15">
      <c r="A316" s="247"/>
      <c r="B316" s="166" t="s">
        <v>66</v>
      </c>
      <c r="C316" s="106">
        <v>0</v>
      </c>
      <c r="D316" s="105">
        <v>0</v>
      </c>
      <c r="E316" s="105">
        <v>0</v>
      </c>
      <c r="F316" s="105">
        <v>0</v>
      </c>
      <c r="G316" s="105">
        <v>0</v>
      </c>
      <c r="H316" s="105"/>
      <c r="I316" s="106"/>
      <c r="J316" s="106"/>
      <c r="K316" s="106"/>
      <c r="L316" s="106"/>
      <c r="M316" s="106"/>
      <c r="N316" s="106"/>
      <c r="O316" s="105">
        <f t="shared" si="66"/>
        <v>0</v>
      </c>
    </row>
    <row r="317" spans="1:15" ht="16.5" customHeight="1" x14ac:dyDescent="0.15">
      <c r="A317" s="247"/>
      <c r="B317" s="166" t="s">
        <v>22</v>
      </c>
      <c r="C317" s="105">
        <v>16096</v>
      </c>
      <c r="D317" s="105">
        <v>16096</v>
      </c>
      <c r="E317" s="105">
        <v>8048</v>
      </c>
      <c r="F317" s="105">
        <v>8048</v>
      </c>
      <c r="G317" s="105">
        <v>8048</v>
      </c>
      <c r="H317" s="105"/>
      <c r="I317" s="105"/>
      <c r="J317" s="105"/>
      <c r="K317" s="105"/>
      <c r="L317" s="105"/>
      <c r="M317" s="105"/>
      <c r="N317" s="105"/>
      <c r="O317" s="105">
        <f t="shared" si="66"/>
        <v>56336</v>
      </c>
    </row>
    <row r="318" spans="1:15" ht="16.5" customHeight="1" x14ac:dyDescent="0.15">
      <c r="A318" s="247"/>
      <c r="B318" s="166" t="s">
        <v>67</v>
      </c>
      <c r="C318" s="105">
        <v>1240</v>
      </c>
      <c r="D318" s="105">
        <v>1240</v>
      </c>
      <c r="E318" s="105">
        <v>1240</v>
      </c>
      <c r="F318" s="105">
        <v>1240</v>
      </c>
      <c r="G318" s="105">
        <v>1240</v>
      </c>
      <c r="H318" s="105"/>
      <c r="I318" s="105"/>
      <c r="J318" s="105"/>
      <c r="K318" s="105"/>
      <c r="L318" s="105"/>
      <c r="M318" s="105"/>
      <c r="N318" s="105"/>
      <c r="O318" s="105">
        <f t="shared" si="66"/>
        <v>6200</v>
      </c>
    </row>
    <row r="319" spans="1:15" ht="16.5" customHeight="1" x14ac:dyDescent="0.15">
      <c r="A319" s="247"/>
      <c r="B319" s="166" t="s">
        <v>23</v>
      </c>
      <c r="C319" s="105">
        <v>26826</v>
      </c>
      <c r="D319" s="105">
        <v>26826</v>
      </c>
      <c r="E319" s="105">
        <v>13413</v>
      </c>
      <c r="F319" s="105">
        <v>13413</v>
      </c>
      <c r="G319" s="105">
        <v>13413</v>
      </c>
      <c r="H319" s="105"/>
      <c r="I319" s="105"/>
      <c r="J319" s="105"/>
      <c r="K319" s="105"/>
      <c r="L319" s="105"/>
      <c r="M319" s="105"/>
      <c r="N319" s="105"/>
      <c r="O319" s="105">
        <f t="shared" si="66"/>
        <v>93891</v>
      </c>
    </row>
    <row r="320" spans="1:15" ht="16.5" customHeight="1" x14ac:dyDescent="0.15">
      <c r="A320" s="247"/>
      <c r="B320" s="166" t="s">
        <v>157</v>
      </c>
      <c r="C320" s="105">
        <v>2361</v>
      </c>
      <c r="D320" s="105">
        <v>2601</v>
      </c>
      <c r="E320" s="105">
        <v>1392</v>
      </c>
      <c r="F320" s="105">
        <v>1392</v>
      </c>
      <c r="G320" s="105">
        <v>1392</v>
      </c>
      <c r="H320" s="105"/>
      <c r="I320" s="105"/>
      <c r="J320" s="105"/>
      <c r="K320" s="105"/>
      <c r="L320" s="105"/>
      <c r="M320" s="105"/>
      <c r="N320" s="105"/>
      <c r="O320" s="105">
        <f t="shared" si="66"/>
        <v>9138</v>
      </c>
    </row>
    <row r="321" spans="1:15" ht="16.5" customHeight="1" x14ac:dyDescent="0.15">
      <c r="A321" s="247"/>
      <c r="B321" s="166" t="s">
        <v>158</v>
      </c>
      <c r="C321" s="105">
        <v>298300</v>
      </c>
      <c r="D321" s="105">
        <v>306000</v>
      </c>
      <c r="E321" s="105">
        <v>163800</v>
      </c>
      <c r="F321" s="105">
        <v>163800</v>
      </c>
      <c r="G321" s="105">
        <v>163800</v>
      </c>
      <c r="H321" s="105"/>
      <c r="I321" s="105"/>
      <c r="J321" s="105"/>
      <c r="K321" s="105"/>
      <c r="L321" s="105"/>
      <c r="M321" s="105"/>
      <c r="N321" s="105"/>
      <c r="O321" s="105">
        <f t="shared" si="66"/>
        <v>1095700</v>
      </c>
    </row>
    <row r="322" spans="1:15" ht="16.5" customHeight="1" x14ac:dyDescent="0.15">
      <c r="A322" s="247"/>
      <c r="B322" s="171"/>
      <c r="C322" s="107"/>
      <c r="D322" s="107">
        <v>2</v>
      </c>
      <c r="E322" s="107">
        <v>1</v>
      </c>
      <c r="F322" s="107">
        <v>1</v>
      </c>
      <c r="G322" s="107">
        <v>1</v>
      </c>
      <c r="H322" s="107"/>
      <c r="I322" s="107"/>
      <c r="J322" s="107"/>
      <c r="K322" s="107"/>
      <c r="L322" s="107"/>
      <c r="M322" s="107"/>
      <c r="N322" s="107"/>
      <c r="O322" s="107"/>
    </row>
    <row r="323" spans="1:15" ht="16.5" customHeight="1" thickBot="1" x14ac:dyDescent="0.2">
      <c r="A323" s="247"/>
      <c r="B323" s="171" t="s">
        <v>171</v>
      </c>
      <c r="C323" s="107">
        <v>0</v>
      </c>
      <c r="D323" s="107">
        <v>0</v>
      </c>
      <c r="E323" s="107">
        <v>0</v>
      </c>
      <c r="F323" s="107">
        <v>0</v>
      </c>
      <c r="G323" s="107">
        <v>0</v>
      </c>
      <c r="H323" s="107"/>
      <c r="I323" s="107"/>
      <c r="J323" s="107"/>
      <c r="K323" s="107"/>
      <c r="L323" s="107"/>
      <c r="M323" s="107"/>
      <c r="N323" s="107"/>
      <c r="O323" s="168">
        <f t="shared" si="66"/>
        <v>0</v>
      </c>
    </row>
    <row r="324" spans="1:15" ht="16.5" customHeight="1" thickTop="1" x14ac:dyDescent="0.15">
      <c r="A324" s="247"/>
      <c r="B324" s="169" t="s">
        <v>159</v>
      </c>
      <c r="C324" s="110">
        <f>IF(C312="","",C312-SUM(C313:C320))</f>
        <v>125427</v>
      </c>
      <c r="D324" s="110">
        <v>129862</v>
      </c>
      <c r="E324" s="110">
        <v>71982</v>
      </c>
      <c r="F324" s="110">
        <v>71982</v>
      </c>
      <c r="G324" s="110">
        <v>71982</v>
      </c>
      <c r="H324" s="110" t="str">
        <f t="shared" ref="H324:M324" si="67">IF(H312="","",H312-SUM(H313:H320))</f>
        <v/>
      </c>
      <c r="I324" s="110" t="str">
        <f t="shared" si="67"/>
        <v/>
      </c>
      <c r="J324" s="110" t="str">
        <f t="shared" si="67"/>
        <v/>
      </c>
      <c r="K324" s="110" t="str">
        <f t="shared" si="67"/>
        <v/>
      </c>
      <c r="L324" s="110" t="str">
        <f t="shared" si="67"/>
        <v/>
      </c>
      <c r="M324" s="110" t="str">
        <f t="shared" si="67"/>
        <v/>
      </c>
      <c r="N324" s="110" t="str">
        <f>IF(N312="","",N312-SUM(N313:N320))</f>
        <v/>
      </c>
      <c r="O324" s="110">
        <f>IF(O312="","",O312-SUM(O313:O320))</f>
        <v>471235</v>
      </c>
    </row>
    <row r="325" spans="1:15" ht="16.5" customHeight="1" thickBot="1" x14ac:dyDescent="0.2">
      <c r="A325" s="248"/>
      <c r="B325" s="170" t="s">
        <v>160</v>
      </c>
      <c r="C325" s="112">
        <f>IF(C312="","",IF(C312=0,"―     ",C324/C312))</f>
        <v>0.26672408293460925</v>
      </c>
      <c r="D325" s="112">
        <v>0.26907433307433309</v>
      </c>
      <c r="E325" s="112">
        <v>0.276987012987013</v>
      </c>
      <c r="F325" s="112">
        <v>0.276987012987013</v>
      </c>
      <c r="G325" s="112">
        <v>0.276987012987013</v>
      </c>
      <c r="H325" s="112" t="str">
        <f t="shared" ref="H325:N325" si="68">IF(H312="","",IF(H312=0,"―     ",H324/H312))</f>
        <v/>
      </c>
      <c r="I325" s="112" t="str">
        <f t="shared" si="68"/>
        <v/>
      </c>
      <c r="J325" s="112" t="str">
        <f t="shared" si="68"/>
        <v/>
      </c>
      <c r="K325" s="112" t="str">
        <f t="shared" si="68"/>
        <v/>
      </c>
      <c r="L325" s="112" t="str">
        <f t="shared" si="68"/>
        <v/>
      </c>
      <c r="M325" s="112" t="str">
        <f t="shared" si="68"/>
        <v/>
      </c>
      <c r="N325" s="112" t="str">
        <f t="shared" si="68"/>
        <v/>
      </c>
      <c r="O325" s="112">
        <f>IF(O312="","",IF(O312=0,"―     ",O324/O312))</f>
        <v>0.27199711399711402</v>
      </c>
    </row>
    <row r="326" spans="1:15" ht="16.5" customHeight="1" x14ac:dyDescent="0.15">
      <c r="A326" s="251"/>
      <c r="B326" s="164" t="s">
        <v>21</v>
      </c>
      <c r="C326" s="102">
        <v>646968</v>
      </c>
      <c r="D326" s="102">
        <v>695814</v>
      </c>
      <c r="E326" s="102">
        <v>445875</v>
      </c>
      <c r="F326" s="102">
        <v>271150</v>
      </c>
      <c r="G326" s="102">
        <v>223300</v>
      </c>
      <c r="H326" s="102"/>
      <c r="I326" s="102"/>
      <c r="J326" s="102"/>
      <c r="K326" s="102"/>
      <c r="L326" s="102"/>
      <c r="M326" s="102"/>
      <c r="N326" s="102"/>
      <c r="O326" s="103">
        <f>SUM(C326:N326)</f>
        <v>2283107</v>
      </c>
    </row>
    <row r="327" spans="1:15" ht="16.5" customHeight="1" x14ac:dyDescent="0.15">
      <c r="A327" s="247"/>
      <c r="B327" s="166" t="s">
        <v>155</v>
      </c>
      <c r="C327" s="105">
        <v>417210</v>
      </c>
      <c r="D327" s="105">
        <v>445785</v>
      </c>
      <c r="E327" s="105">
        <v>280950</v>
      </c>
      <c r="F327" s="105">
        <v>186675</v>
      </c>
      <c r="G327" s="105">
        <v>143220</v>
      </c>
      <c r="H327" s="105"/>
      <c r="I327" s="105"/>
      <c r="J327" s="105"/>
      <c r="K327" s="105"/>
      <c r="L327" s="105"/>
      <c r="M327" s="105"/>
      <c r="N327" s="105"/>
      <c r="O327" s="105">
        <f t="shared" ref="O327:O337" si="69">SUM(C327:N327)</f>
        <v>1473840</v>
      </c>
    </row>
    <row r="328" spans="1:15" ht="16.5" customHeight="1" x14ac:dyDescent="0.15">
      <c r="A328" s="247"/>
      <c r="B328" s="166" t="s">
        <v>156</v>
      </c>
      <c r="C328" s="105">
        <v>0</v>
      </c>
      <c r="D328" s="105">
        <v>0</v>
      </c>
      <c r="E328" s="105">
        <v>0</v>
      </c>
      <c r="F328" s="105">
        <v>0</v>
      </c>
      <c r="G328" s="105">
        <v>0</v>
      </c>
      <c r="H328" s="105"/>
      <c r="I328" s="105"/>
      <c r="J328" s="105"/>
      <c r="K328" s="105"/>
      <c r="L328" s="105"/>
      <c r="M328" s="105"/>
      <c r="N328" s="105"/>
      <c r="O328" s="105">
        <f t="shared" si="69"/>
        <v>0</v>
      </c>
    </row>
    <row r="329" spans="1:15" ht="16.5" customHeight="1" x14ac:dyDescent="0.15">
      <c r="A329" s="247"/>
      <c r="B329" s="166" t="s">
        <v>26</v>
      </c>
      <c r="C329" s="105">
        <v>54120</v>
      </c>
      <c r="D329" s="105">
        <v>67360</v>
      </c>
      <c r="E329" s="105">
        <v>35340</v>
      </c>
      <c r="F329" s="105">
        <v>23480</v>
      </c>
      <c r="G329" s="105">
        <v>19740</v>
      </c>
      <c r="H329" s="105"/>
      <c r="I329" s="105"/>
      <c r="J329" s="105"/>
      <c r="K329" s="105"/>
      <c r="L329" s="105"/>
      <c r="M329" s="105"/>
      <c r="N329" s="105"/>
      <c r="O329" s="105">
        <f t="shared" si="69"/>
        <v>200040</v>
      </c>
    </row>
    <row r="330" spans="1:15" ht="16.5" customHeight="1" x14ac:dyDescent="0.15">
      <c r="A330" s="247"/>
      <c r="B330" s="166" t="s">
        <v>66</v>
      </c>
      <c r="C330" s="106">
        <v>9150</v>
      </c>
      <c r="D330" s="105">
        <v>11286</v>
      </c>
      <c r="E330" s="105">
        <v>0</v>
      </c>
      <c r="F330" s="105">
        <v>0</v>
      </c>
      <c r="G330" s="105">
        <v>0</v>
      </c>
      <c r="H330" s="105"/>
      <c r="I330" s="106"/>
      <c r="J330" s="106"/>
      <c r="K330" s="106"/>
      <c r="L330" s="106"/>
      <c r="M330" s="106"/>
      <c r="N330" s="106"/>
      <c r="O330" s="105">
        <f t="shared" si="69"/>
        <v>20436</v>
      </c>
    </row>
    <row r="331" spans="1:15" ht="16.5" customHeight="1" x14ac:dyDescent="0.15">
      <c r="A331" s="247"/>
      <c r="B331" s="166" t="s">
        <v>22</v>
      </c>
      <c r="C331" s="105">
        <v>25754</v>
      </c>
      <c r="D331" s="105">
        <v>18611</v>
      </c>
      <c r="E331" s="105">
        <v>8551</v>
      </c>
      <c r="F331" s="105">
        <v>8551</v>
      </c>
      <c r="G331" s="105">
        <v>8551</v>
      </c>
      <c r="H331" s="105"/>
      <c r="I331" s="105"/>
      <c r="J331" s="105"/>
      <c r="K331" s="105"/>
      <c r="L331" s="105"/>
      <c r="M331" s="105"/>
      <c r="N331" s="105"/>
      <c r="O331" s="105">
        <f t="shared" si="69"/>
        <v>70018</v>
      </c>
    </row>
    <row r="332" spans="1:15" ht="16.5" customHeight="1" x14ac:dyDescent="0.15">
      <c r="A332" s="247"/>
      <c r="B332" s="166" t="s">
        <v>67</v>
      </c>
      <c r="C332" s="105">
        <v>3967</v>
      </c>
      <c r="D332" s="105">
        <v>2867</v>
      </c>
      <c r="E332" s="105">
        <v>1317</v>
      </c>
      <c r="F332" s="105">
        <v>1317</v>
      </c>
      <c r="G332" s="105">
        <v>1317</v>
      </c>
      <c r="H332" s="105"/>
      <c r="I332" s="105"/>
      <c r="J332" s="105"/>
      <c r="K332" s="105"/>
      <c r="L332" s="105"/>
      <c r="M332" s="105"/>
      <c r="N332" s="105"/>
      <c r="O332" s="105">
        <f t="shared" si="69"/>
        <v>10785</v>
      </c>
    </row>
    <row r="333" spans="1:15" ht="16.5" customHeight="1" x14ac:dyDescent="0.15">
      <c r="A333" s="247"/>
      <c r="B333" s="166" t="s">
        <v>23</v>
      </c>
      <c r="C333" s="105">
        <v>42921</v>
      </c>
      <c r="D333" s="105">
        <v>31017</v>
      </c>
      <c r="E333" s="105">
        <v>14251</v>
      </c>
      <c r="F333" s="105">
        <v>14251</v>
      </c>
      <c r="G333" s="105">
        <v>14251</v>
      </c>
      <c r="H333" s="105"/>
      <c r="I333" s="105"/>
      <c r="J333" s="105"/>
      <c r="K333" s="105"/>
      <c r="L333" s="105"/>
      <c r="M333" s="105"/>
      <c r="N333" s="105"/>
      <c r="O333" s="105">
        <f t="shared" si="69"/>
        <v>116691</v>
      </c>
    </row>
    <row r="334" spans="1:15" ht="16.5" customHeight="1" x14ac:dyDescent="0.15">
      <c r="A334" s="247"/>
      <c r="B334" s="166" t="s">
        <v>157</v>
      </c>
      <c r="C334" s="105">
        <v>3803</v>
      </c>
      <c r="D334" s="105">
        <v>4456</v>
      </c>
      <c r="E334" s="105">
        <v>2688</v>
      </c>
      <c r="F334" s="105">
        <v>1787</v>
      </c>
      <c r="G334" s="105">
        <v>1386</v>
      </c>
      <c r="H334" s="105"/>
      <c r="I334" s="105"/>
      <c r="J334" s="105"/>
      <c r="K334" s="105"/>
      <c r="L334" s="105"/>
      <c r="M334" s="105"/>
      <c r="N334" s="105"/>
      <c r="O334" s="105">
        <f t="shared" si="69"/>
        <v>14120</v>
      </c>
    </row>
    <row r="335" spans="1:15" ht="16.5" customHeight="1" x14ac:dyDescent="0.15">
      <c r="A335" s="247"/>
      <c r="B335" s="166" t="s">
        <v>158</v>
      </c>
      <c r="C335" s="105">
        <v>480480</v>
      </c>
      <c r="D335" s="105">
        <v>524431</v>
      </c>
      <c r="E335" s="105">
        <v>316290</v>
      </c>
      <c r="F335" s="105">
        <v>210155</v>
      </c>
      <c r="G335" s="105">
        <v>162960</v>
      </c>
      <c r="H335" s="105"/>
      <c r="I335" s="105"/>
      <c r="J335" s="105"/>
      <c r="K335" s="105"/>
      <c r="L335" s="105"/>
      <c r="M335" s="105"/>
      <c r="N335" s="105"/>
      <c r="O335" s="105">
        <f t="shared" si="69"/>
        <v>1694316</v>
      </c>
    </row>
    <row r="336" spans="1:15" ht="16.5" customHeight="1" x14ac:dyDescent="0.15">
      <c r="A336" s="247"/>
      <c r="B336" s="171"/>
      <c r="C336" s="107"/>
      <c r="D336" s="107">
        <v>3</v>
      </c>
      <c r="E336" s="107">
        <v>2</v>
      </c>
      <c r="F336" s="107">
        <v>2</v>
      </c>
      <c r="G336" s="107">
        <v>1</v>
      </c>
      <c r="H336" s="107"/>
      <c r="I336" s="107"/>
      <c r="J336" s="107"/>
      <c r="K336" s="107"/>
      <c r="L336" s="107"/>
      <c r="M336" s="107"/>
      <c r="N336" s="107"/>
      <c r="O336" s="107"/>
    </row>
    <row r="337" spans="1:15" ht="16.5" customHeight="1" thickBot="1" x14ac:dyDescent="0.2">
      <c r="A337" s="247"/>
      <c r="B337" s="171" t="s">
        <v>171</v>
      </c>
      <c r="C337" s="107">
        <v>2</v>
      </c>
      <c r="D337" s="107">
        <v>3</v>
      </c>
      <c r="E337" s="107">
        <v>1</v>
      </c>
      <c r="F337" s="107">
        <v>2</v>
      </c>
      <c r="G337" s="107">
        <v>0</v>
      </c>
      <c r="H337" s="107"/>
      <c r="I337" s="107"/>
      <c r="J337" s="107"/>
      <c r="K337" s="107"/>
      <c r="L337" s="107"/>
      <c r="M337" s="107"/>
      <c r="N337" s="107"/>
      <c r="O337" s="168">
        <f t="shared" si="69"/>
        <v>8</v>
      </c>
    </row>
    <row r="338" spans="1:15" ht="16.5" customHeight="1" thickTop="1" x14ac:dyDescent="0.15">
      <c r="A338" s="247"/>
      <c r="B338" s="169" t="s">
        <v>159</v>
      </c>
      <c r="C338" s="110">
        <f>IF(C326="","",C326-SUM(C327:C334))</f>
        <v>90043</v>
      </c>
      <c r="D338" s="110">
        <v>114432</v>
      </c>
      <c r="E338" s="110">
        <v>102778</v>
      </c>
      <c r="F338" s="110">
        <v>35089</v>
      </c>
      <c r="G338" s="110">
        <v>34835</v>
      </c>
      <c r="H338" s="110" t="str">
        <f t="shared" ref="H338:M338" si="70">IF(H326="","",H326-SUM(H327:H334))</f>
        <v/>
      </c>
      <c r="I338" s="110" t="str">
        <f t="shared" si="70"/>
        <v/>
      </c>
      <c r="J338" s="110" t="str">
        <f t="shared" si="70"/>
        <v/>
      </c>
      <c r="K338" s="110" t="str">
        <f t="shared" si="70"/>
        <v/>
      </c>
      <c r="L338" s="110" t="str">
        <f t="shared" si="70"/>
        <v/>
      </c>
      <c r="M338" s="110" t="str">
        <f t="shared" si="70"/>
        <v/>
      </c>
      <c r="N338" s="110" t="str">
        <f>IF(N326="","",N326-SUM(N327:N334))</f>
        <v/>
      </c>
      <c r="O338" s="110">
        <f>IF(O326="","",O326-SUM(O327:O334))</f>
        <v>377177</v>
      </c>
    </row>
    <row r="339" spans="1:15" ht="16.5" customHeight="1" thickBot="1" x14ac:dyDescent="0.2">
      <c r="A339" s="248"/>
      <c r="B339" s="170" t="s">
        <v>160</v>
      </c>
      <c r="C339" s="112">
        <f>IF(C326="","",IF(C326=0,"―     ",C338/C326))</f>
        <v>0.13917689901200678</v>
      </c>
      <c r="D339" s="112">
        <v>0.16445774301753055</v>
      </c>
      <c r="E339" s="112">
        <v>0.23050855060274741</v>
      </c>
      <c r="F339" s="112">
        <v>0.12940807671030793</v>
      </c>
      <c r="G339" s="112">
        <v>0.15600089565606806</v>
      </c>
      <c r="H339" s="112" t="str">
        <f t="shared" ref="H339:N339" si="71">IF(H326="","",IF(H326=0,"―     ",H338/H326))</f>
        <v/>
      </c>
      <c r="I339" s="112" t="str">
        <f t="shared" si="71"/>
        <v/>
      </c>
      <c r="J339" s="112" t="str">
        <f t="shared" si="71"/>
        <v/>
      </c>
      <c r="K339" s="112" t="str">
        <f t="shared" si="71"/>
        <v/>
      </c>
      <c r="L339" s="112" t="str">
        <f t="shared" si="71"/>
        <v/>
      </c>
      <c r="M339" s="112" t="str">
        <f t="shared" si="71"/>
        <v/>
      </c>
      <c r="N339" s="112" t="str">
        <f t="shared" si="71"/>
        <v/>
      </c>
      <c r="O339" s="112">
        <f>IF(O326="","",IF(O326=0,"―     ",O338/O326))</f>
        <v>0.16520338293387038</v>
      </c>
    </row>
    <row r="340" spans="1:15" ht="16.5" customHeight="1" x14ac:dyDescent="0.15">
      <c r="A340" s="251"/>
      <c r="B340" s="164" t="s">
        <v>21</v>
      </c>
      <c r="C340" s="102">
        <v>836257</v>
      </c>
      <c r="D340" s="102">
        <v>951885</v>
      </c>
      <c r="E340" s="102">
        <v>977375</v>
      </c>
      <c r="F340" s="102">
        <v>1000062</v>
      </c>
      <c r="G340" s="102">
        <v>930949</v>
      </c>
      <c r="H340" s="102"/>
      <c r="I340" s="102"/>
      <c r="J340" s="102"/>
      <c r="K340" s="102"/>
      <c r="L340" s="102"/>
      <c r="M340" s="102"/>
      <c r="N340" s="102"/>
      <c r="O340" s="103">
        <f>SUM(C340:N340)</f>
        <v>4696528</v>
      </c>
    </row>
    <row r="341" spans="1:15" ht="16.5" customHeight="1" x14ac:dyDescent="0.15">
      <c r="A341" s="247"/>
      <c r="B341" s="166" t="s">
        <v>155</v>
      </c>
      <c r="C341" s="105">
        <v>532340</v>
      </c>
      <c r="D341" s="105">
        <v>571340</v>
      </c>
      <c r="E341" s="105">
        <v>594278</v>
      </c>
      <c r="F341" s="105">
        <v>603663</v>
      </c>
      <c r="G341" s="105">
        <v>564618</v>
      </c>
      <c r="H341" s="105"/>
      <c r="I341" s="105"/>
      <c r="J341" s="105"/>
      <c r="K341" s="105"/>
      <c r="L341" s="105"/>
      <c r="M341" s="105"/>
      <c r="N341" s="105"/>
      <c r="O341" s="105">
        <f t="shared" ref="O341:O351" si="72">SUM(C341:N341)</f>
        <v>2866239</v>
      </c>
    </row>
    <row r="342" spans="1:15" ht="16.5" customHeight="1" x14ac:dyDescent="0.15">
      <c r="A342" s="247"/>
      <c r="B342" s="166" t="s">
        <v>156</v>
      </c>
      <c r="C342" s="105">
        <v>0</v>
      </c>
      <c r="D342" s="105">
        <v>0</v>
      </c>
      <c r="E342" s="105">
        <v>0</v>
      </c>
      <c r="F342" s="105">
        <v>0</v>
      </c>
      <c r="G342" s="105">
        <v>0</v>
      </c>
      <c r="H342" s="105"/>
      <c r="I342" s="105"/>
      <c r="J342" s="105"/>
      <c r="K342" s="105"/>
      <c r="L342" s="105"/>
      <c r="M342" s="105"/>
      <c r="N342" s="105"/>
      <c r="O342" s="105">
        <f t="shared" si="72"/>
        <v>0</v>
      </c>
    </row>
    <row r="343" spans="1:15" ht="16.5" customHeight="1" x14ac:dyDescent="0.15">
      <c r="A343" s="247"/>
      <c r="B343" s="166" t="s">
        <v>26</v>
      </c>
      <c r="C343" s="105">
        <v>36080</v>
      </c>
      <c r="D343" s="105">
        <v>46660</v>
      </c>
      <c r="E343" s="105">
        <v>47700</v>
      </c>
      <c r="F343" s="105">
        <v>48800</v>
      </c>
      <c r="G343" s="105">
        <v>45760</v>
      </c>
      <c r="H343" s="105"/>
      <c r="I343" s="105"/>
      <c r="J343" s="105"/>
      <c r="K343" s="105"/>
      <c r="L343" s="105"/>
      <c r="M343" s="105"/>
      <c r="N343" s="105"/>
      <c r="O343" s="105">
        <f t="shared" si="72"/>
        <v>225000</v>
      </c>
    </row>
    <row r="344" spans="1:15" ht="16.5" customHeight="1" x14ac:dyDescent="0.15">
      <c r="A344" s="247"/>
      <c r="B344" s="166" t="s">
        <v>66</v>
      </c>
      <c r="C344" s="106">
        <v>4782</v>
      </c>
      <c r="D344" s="105">
        <v>3376</v>
      </c>
      <c r="E344" s="105">
        <v>4268</v>
      </c>
      <c r="F344" s="105">
        <v>0</v>
      </c>
      <c r="G344" s="105">
        <v>5406</v>
      </c>
      <c r="H344" s="105"/>
      <c r="I344" s="106"/>
      <c r="J344" s="106"/>
      <c r="K344" s="106"/>
      <c r="L344" s="106"/>
      <c r="M344" s="106"/>
      <c r="N344" s="106"/>
      <c r="O344" s="105">
        <f t="shared" si="72"/>
        <v>17832</v>
      </c>
    </row>
    <row r="345" spans="1:15" ht="16.5" customHeight="1" x14ac:dyDescent="0.15">
      <c r="A345" s="247"/>
      <c r="B345" s="166" t="s">
        <v>22</v>
      </c>
      <c r="C345" s="105">
        <v>29979</v>
      </c>
      <c r="D345" s="105">
        <v>29979</v>
      </c>
      <c r="E345" s="105">
        <v>29979</v>
      </c>
      <c r="F345" s="105">
        <v>29979</v>
      </c>
      <c r="G345" s="105">
        <v>29979</v>
      </c>
      <c r="H345" s="105"/>
      <c r="I345" s="105"/>
      <c r="J345" s="105"/>
      <c r="K345" s="105"/>
      <c r="L345" s="105"/>
      <c r="M345" s="105"/>
      <c r="N345" s="105"/>
      <c r="O345" s="105">
        <f t="shared" si="72"/>
        <v>149895</v>
      </c>
    </row>
    <row r="346" spans="1:15" ht="16.5" customHeight="1" x14ac:dyDescent="0.15">
      <c r="A346" s="247"/>
      <c r="B346" s="166" t="s">
        <v>67</v>
      </c>
      <c r="C346" s="105">
        <v>3642</v>
      </c>
      <c r="D346" s="105">
        <v>3642</v>
      </c>
      <c r="E346" s="105">
        <v>3642</v>
      </c>
      <c r="F346" s="105">
        <v>3642</v>
      </c>
      <c r="G346" s="105">
        <v>3642</v>
      </c>
      <c r="H346" s="105"/>
      <c r="I346" s="105"/>
      <c r="J346" s="105"/>
      <c r="K346" s="105"/>
      <c r="L346" s="105"/>
      <c r="M346" s="105"/>
      <c r="N346" s="105"/>
      <c r="O346" s="105">
        <f t="shared" si="72"/>
        <v>18210</v>
      </c>
    </row>
    <row r="347" spans="1:15" ht="16.5" customHeight="1" x14ac:dyDescent="0.15">
      <c r="A347" s="247"/>
      <c r="B347" s="166" t="s">
        <v>23</v>
      </c>
      <c r="C347" s="105">
        <v>49963</v>
      </c>
      <c r="D347" s="105">
        <v>49963</v>
      </c>
      <c r="E347" s="105">
        <v>49963</v>
      </c>
      <c r="F347" s="105">
        <v>49963</v>
      </c>
      <c r="G347" s="105">
        <v>49963</v>
      </c>
      <c r="H347" s="105"/>
      <c r="I347" s="105"/>
      <c r="J347" s="105"/>
      <c r="K347" s="105"/>
      <c r="L347" s="105"/>
      <c r="M347" s="105"/>
      <c r="N347" s="105"/>
      <c r="O347" s="105">
        <f t="shared" si="72"/>
        <v>249815</v>
      </c>
    </row>
    <row r="348" spans="1:15" ht="16.5" customHeight="1" x14ac:dyDescent="0.15">
      <c r="A348" s="247"/>
      <c r="B348" s="166" t="s">
        <v>157</v>
      </c>
      <c r="C348" s="105">
        <v>4537</v>
      </c>
      <c r="D348" s="105">
        <v>5281</v>
      </c>
      <c r="E348" s="105">
        <v>5491</v>
      </c>
      <c r="F348" s="105">
        <v>5546</v>
      </c>
      <c r="G348" s="105">
        <v>5234</v>
      </c>
      <c r="H348" s="105"/>
      <c r="I348" s="105"/>
      <c r="J348" s="105"/>
      <c r="K348" s="105"/>
      <c r="L348" s="105"/>
      <c r="M348" s="105"/>
      <c r="N348" s="105"/>
      <c r="O348" s="105">
        <f t="shared" si="72"/>
        <v>26089</v>
      </c>
    </row>
    <row r="349" spans="1:15" ht="16.5" customHeight="1" x14ac:dyDescent="0.15">
      <c r="A349" s="247"/>
      <c r="B349" s="166" t="s">
        <v>158</v>
      </c>
      <c r="C349" s="105">
        <v>573202</v>
      </c>
      <c r="D349" s="105">
        <v>621376</v>
      </c>
      <c r="E349" s="105">
        <v>646246</v>
      </c>
      <c r="F349" s="105">
        <v>652463</v>
      </c>
      <c r="G349" s="105">
        <v>615784</v>
      </c>
      <c r="H349" s="105"/>
      <c r="I349" s="105"/>
      <c r="J349" s="105"/>
      <c r="K349" s="105"/>
      <c r="L349" s="105"/>
      <c r="M349" s="105"/>
      <c r="N349" s="105"/>
      <c r="O349" s="105">
        <f t="shared" si="72"/>
        <v>3109071</v>
      </c>
    </row>
    <row r="350" spans="1:15" ht="16.5" customHeight="1" x14ac:dyDescent="0.15">
      <c r="A350" s="247"/>
      <c r="B350" s="171"/>
      <c r="C350" s="107"/>
      <c r="D350" s="107">
        <v>4</v>
      </c>
      <c r="E350" s="107">
        <v>4</v>
      </c>
      <c r="F350" s="107">
        <v>4</v>
      </c>
      <c r="G350" s="107">
        <v>4</v>
      </c>
      <c r="H350" s="107"/>
      <c r="I350" s="107"/>
      <c r="J350" s="107"/>
      <c r="K350" s="107"/>
      <c r="L350" s="107"/>
      <c r="M350" s="107"/>
      <c r="N350" s="107"/>
      <c r="O350" s="107"/>
    </row>
    <row r="351" spans="1:15" ht="16.5" customHeight="1" thickBot="1" x14ac:dyDescent="0.2">
      <c r="A351" s="247"/>
      <c r="B351" s="171" t="s">
        <v>171</v>
      </c>
      <c r="C351" s="107">
        <v>8</v>
      </c>
      <c r="D351" s="107">
        <v>4</v>
      </c>
      <c r="E351" s="107">
        <v>5</v>
      </c>
      <c r="F351" s="107">
        <v>4</v>
      </c>
      <c r="G351" s="107">
        <v>5</v>
      </c>
      <c r="H351" s="107"/>
      <c r="I351" s="107"/>
      <c r="J351" s="107"/>
      <c r="K351" s="107"/>
      <c r="L351" s="107"/>
      <c r="M351" s="107"/>
      <c r="N351" s="107"/>
      <c r="O351" s="168">
        <f t="shared" si="72"/>
        <v>26</v>
      </c>
    </row>
    <row r="352" spans="1:15" ht="16.5" customHeight="1" thickTop="1" x14ac:dyDescent="0.15">
      <c r="A352" s="247"/>
      <c r="B352" s="169" t="s">
        <v>159</v>
      </c>
      <c r="C352" s="110">
        <f>IF(C340="","",C340-SUM(C341:C348))</f>
        <v>174934</v>
      </c>
      <c r="D352" s="110">
        <v>241644</v>
      </c>
      <c r="E352" s="110">
        <v>242054</v>
      </c>
      <c r="F352" s="110">
        <v>258469</v>
      </c>
      <c r="G352" s="110">
        <v>226347</v>
      </c>
      <c r="H352" s="110" t="str">
        <f t="shared" ref="H352:M352" si="73">IF(H340="","",H340-SUM(H341:H348))</f>
        <v/>
      </c>
      <c r="I352" s="110" t="str">
        <f t="shared" si="73"/>
        <v/>
      </c>
      <c r="J352" s="110" t="str">
        <f t="shared" si="73"/>
        <v/>
      </c>
      <c r="K352" s="110" t="str">
        <f t="shared" si="73"/>
        <v/>
      </c>
      <c r="L352" s="110" t="str">
        <f t="shared" si="73"/>
        <v/>
      </c>
      <c r="M352" s="110" t="str">
        <f t="shared" si="73"/>
        <v/>
      </c>
      <c r="N352" s="110" t="str">
        <f>IF(N340="","",N340-SUM(N341:N348))</f>
        <v/>
      </c>
      <c r="O352" s="110">
        <f>IF(O340="","",O340-SUM(O341:O348))</f>
        <v>1143448</v>
      </c>
    </row>
    <row r="353" spans="1:15" ht="16.5" customHeight="1" thickBot="1" x14ac:dyDescent="0.2">
      <c r="A353" s="248"/>
      <c r="B353" s="170" t="s">
        <v>160</v>
      </c>
      <c r="C353" s="112">
        <f>IF(C340="","",IF(C340=0,"―     ",C352/C340))</f>
        <v>0.2091868887196161</v>
      </c>
      <c r="D353" s="112">
        <v>0.25385839676011285</v>
      </c>
      <c r="E353" s="112">
        <v>0.24765724517201687</v>
      </c>
      <c r="F353" s="112">
        <v>0.25845297591549327</v>
      </c>
      <c r="G353" s="112">
        <v>0.24313576790994995</v>
      </c>
      <c r="H353" s="112" t="str">
        <f t="shared" ref="H353:N353" si="74">IF(H340="","",IF(H340=0,"―     ",H352/H340))</f>
        <v/>
      </c>
      <c r="I353" s="112" t="str">
        <f t="shared" si="74"/>
        <v/>
      </c>
      <c r="J353" s="112" t="str">
        <f t="shared" si="74"/>
        <v/>
      </c>
      <c r="K353" s="112" t="str">
        <f t="shared" si="74"/>
        <v/>
      </c>
      <c r="L353" s="112" t="str">
        <f t="shared" si="74"/>
        <v/>
      </c>
      <c r="M353" s="112" t="str">
        <f t="shared" si="74"/>
        <v/>
      </c>
      <c r="N353" s="112" t="str">
        <f t="shared" si="74"/>
        <v/>
      </c>
      <c r="O353" s="112">
        <f>IF(O340="","",IF(O340=0,"―     ",O352/O340))</f>
        <v>0.24346666303277656</v>
      </c>
    </row>
    <row r="354" spans="1:15" ht="16.5" customHeight="1" x14ac:dyDescent="0.15">
      <c r="A354" s="251"/>
      <c r="B354" s="164" t="s">
        <v>21</v>
      </c>
      <c r="C354" s="102">
        <v>222000</v>
      </c>
      <c r="D354" s="102">
        <v>277500</v>
      </c>
      <c r="E354" s="102">
        <v>277500</v>
      </c>
      <c r="F354" s="102">
        <v>291375</v>
      </c>
      <c r="G354" s="102">
        <v>138750</v>
      </c>
      <c r="H354" s="102"/>
      <c r="I354" s="102"/>
      <c r="J354" s="102"/>
      <c r="K354" s="102"/>
      <c r="L354" s="102"/>
      <c r="M354" s="102"/>
      <c r="N354" s="102"/>
      <c r="O354" s="103">
        <f>SUM(C354:N354)</f>
        <v>1207125</v>
      </c>
    </row>
    <row r="355" spans="1:15" ht="16.5" customHeight="1" x14ac:dyDescent="0.15">
      <c r="A355" s="247"/>
      <c r="B355" s="166" t="s">
        <v>155</v>
      </c>
      <c r="C355" s="105">
        <v>171000</v>
      </c>
      <c r="D355" s="105">
        <v>180000</v>
      </c>
      <c r="E355" s="105">
        <v>180000</v>
      </c>
      <c r="F355" s="105">
        <v>189000</v>
      </c>
      <c r="G355" s="105">
        <v>90000</v>
      </c>
      <c r="H355" s="105"/>
      <c r="I355" s="105"/>
      <c r="J355" s="105"/>
      <c r="K355" s="105"/>
      <c r="L355" s="105"/>
      <c r="M355" s="105"/>
      <c r="N355" s="105"/>
      <c r="O355" s="105">
        <f t="shared" ref="O355:O365" si="75">SUM(C355:N355)</f>
        <v>810000</v>
      </c>
    </row>
    <row r="356" spans="1:15" ht="16.5" customHeight="1" x14ac:dyDescent="0.15">
      <c r="A356" s="247"/>
      <c r="B356" s="166" t="s">
        <v>156</v>
      </c>
      <c r="C356" s="105">
        <v>0</v>
      </c>
      <c r="D356" s="105">
        <v>0</v>
      </c>
      <c r="E356" s="105">
        <v>0</v>
      </c>
      <c r="F356" s="105">
        <v>0</v>
      </c>
      <c r="G356" s="105">
        <v>0</v>
      </c>
      <c r="H356" s="105"/>
      <c r="I356" s="105"/>
      <c r="J356" s="105"/>
      <c r="K356" s="105"/>
      <c r="L356" s="105"/>
      <c r="M356" s="105"/>
      <c r="N356" s="105"/>
      <c r="O356" s="105">
        <f t="shared" si="75"/>
        <v>0</v>
      </c>
    </row>
    <row r="357" spans="1:15" ht="16.5" customHeight="1" x14ac:dyDescent="0.15">
      <c r="A357" s="247"/>
      <c r="B357" s="166" t="s">
        <v>26</v>
      </c>
      <c r="C357" s="105">
        <v>13760</v>
      </c>
      <c r="D357" s="105">
        <v>17200</v>
      </c>
      <c r="E357" s="105">
        <v>17200</v>
      </c>
      <c r="F357" s="105">
        <v>18060</v>
      </c>
      <c r="G357" s="105">
        <v>8600</v>
      </c>
      <c r="H357" s="105"/>
      <c r="I357" s="105"/>
      <c r="J357" s="105"/>
      <c r="K357" s="105"/>
      <c r="L357" s="105"/>
      <c r="M357" s="105"/>
      <c r="N357" s="105"/>
      <c r="O357" s="105">
        <f t="shared" si="75"/>
        <v>74820</v>
      </c>
    </row>
    <row r="358" spans="1:15" ht="16.5" customHeight="1" x14ac:dyDescent="0.15">
      <c r="A358" s="247"/>
      <c r="B358" s="166" t="s">
        <v>66</v>
      </c>
      <c r="C358" s="106">
        <v>0</v>
      </c>
      <c r="D358" s="105">
        <v>0</v>
      </c>
      <c r="E358" s="105">
        <v>0</v>
      </c>
      <c r="F358" s="105">
        <v>0</v>
      </c>
      <c r="G358" s="105">
        <v>0</v>
      </c>
      <c r="H358" s="105"/>
      <c r="I358" s="106"/>
      <c r="J358" s="106"/>
      <c r="K358" s="106"/>
      <c r="L358" s="106"/>
      <c r="M358" s="106"/>
      <c r="N358" s="106"/>
      <c r="O358" s="105">
        <f t="shared" si="75"/>
        <v>0</v>
      </c>
    </row>
    <row r="359" spans="1:15" ht="16.5" customHeight="1" x14ac:dyDescent="0.15">
      <c r="A359" s="247"/>
      <c r="B359" s="166" t="s">
        <v>22</v>
      </c>
      <c r="C359" s="105">
        <v>10060</v>
      </c>
      <c r="D359" s="105">
        <v>10060</v>
      </c>
      <c r="E359" s="105">
        <v>10060</v>
      </c>
      <c r="F359" s="105">
        <v>10060</v>
      </c>
      <c r="G359" s="105">
        <v>0</v>
      </c>
      <c r="H359" s="105"/>
      <c r="I359" s="105"/>
      <c r="J359" s="105"/>
      <c r="K359" s="105"/>
      <c r="L359" s="105"/>
      <c r="M359" s="105"/>
      <c r="N359" s="105"/>
      <c r="O359" s="105">
        <f t="shared" si="75"/>
        <v>40240</v>
      </c>
    </row>
    <row r="360" spans="1:15" ht="16.5" customHeight="1" x14ac:dyDescent="0.15">
      <c r="A360" s="247"/>
      <c r="B360" s="166" t="s">
        <v>67</v>
      </c>
      <c r="C360" s="105">
        <v>0</v>
      </c>
      <c r="D360" s="105">
        <v>0</v>
      </c>
      <c r="E360" s="105">
        <v>0</v>
      </c>
      <c r="F360" s="105">
        <v>0</v>
      </c>
      <c r="G360" s="105">
        <v>0</v>
      </c>
      <c r="H360" s="105"/>
      <c r="I360" s="105"/>
      <c r="J360" s="105"/>
      <c r="K360" s="105"/>
      <c r="L360" s="105"/>
      <c r="M360" s="105"/>
      <c r="N360" s="105"/>
      <c r="O360" s="105">
        <f t="shared" si="75"/>
        <v>0</v>
      </c>
    </row>
    <row r="361" spans="1:15" ht="16.5" customHeight="1" x14ac:dyDescent="0.15">
      <c r="A361" s="247"/>
      <c r="B361" s="166" t="s">
        <v>23</v>
      </c>
      <c r="C361" s="105">
        <v>16766</v>
      </c>
      <c r="D361" s="105">
        <v>16766</v>
      </c>
      <c r="E361" s="105">
        <v>16766</v>
      </c>
      <c r="F361" s="105">
        <v>16766</v>
      </c>
      <c r="G361" s="105">
        <v>0</v>
      </c>
      <c r="H361" s="105"/>
      <c r="I361" s="105"/>
      <c r="J361" s="105"/>
      <c r="K361" s="105"/>
      <c r="L361" s="105"/>
      <c r="M361" s="105"/>
      <c r="N361" s="105"/>
      <c r="O361" s="105">
        <f t="shared" si="75"/>
        <v>67064</v>
      </c>
    </row>
    <row r="362" spans="1:15" ht="16.5" customHeight="1" x14ac:dyDescent="0.15">
      <c r="A362" s="247"/>
      <c r="B362" s="166" t="s">
        <v>157</v>
      </c>
      <c r="C362" s="105">
        <v>1463</v>
      </c>
      <c r="D362" s="105">
        <v>1676</v>
      </c>
      <c r="E362" s="105">
        <v>1676</v>
      </c>
      <c r="F362" s="105">
        <v>1760</v>
      </c>
      <c r="G362" s="105">
        <v>838</v>
      </c>
      <c r="H362" s="105"/>
      <c r="I362" s="105"/>
      <c r="J362" s="105"/>
      <c r="K362" s="105"/>
      <c r="L362" s="105"/>
      <c r="M362" s="105"/>
      <c r="N362" s="105"/>
      <c r="O362" s="105">
        <f t="shared" si="75"/>
        <v>7413</v>
      </c>
    </row>
    <row r="363" spans="1:15" ht="16.5" customHeight="1" x14ac:dyDescent="0.15">
      <c r="A363" s="247"/>
      <c r="B363" s="166" t="s">
        <v>158</v>
      </c>
      <c r="C363" s="105">
        <v>184760</v>
      </c>
      <c r="D363" s="105">
        <v>197200</v>
      </c>
      <c r="E363" s="105">
        <v>197200</v>
      </c>
      <c r="F363" s="105">
        <v>207060</v>
      </c>
      <c r="G363" s="105">
        <v>98600</v>
      </c>
      <c r="H363" s="105"/>
      <c r="I363" s="105"/>
      <c r="J363" s="105"/>
      <c r="K363" s="105"/>
      <c r="L363" s="105"/>
      <c r="M363" s="105"/>
      <c r="N363" s="105"/>
      <c r="O363" s="105">
        <f t="shared" si="75"/>
        <v>884820</v>
      </c>
    </row>
    <row r="364" spans="1:15" ht="16.5" customHeight="1" x14ac:dyDescent="0.15">
      <c r="A364" s="247"/>
      <c r="B364" s="171"/>
      <c r="C364" s="107"/>
      <c r="D364" s="107">
        <v>1</v>
      </c>
      <c r="E364" s="107">
        <v>1</v>
      </c>
      <c r="F364" s="107">
        <v>1</v>
      </c>
      <c r="G364" s="107">
        <v>1</v>
      </c>
      <c r="H364" s="107"/>
      <c r="I364" s="107"/>
      <c r="J364" s="107"/>
      <c r="K364" s="107"/>
      <c r="L364" s="107"/>
      <c r="M364" s="107"/>
      <c r="N364" s="107"/>
      <c r="O364" s="107"/>
    </row>
    <row r="365" spans="1:15" ht="16.5" customHeight="1" thickBot="1" x14ac:dyDescent="0.2">
      <c r="A365" s="247"/>
      <c r="B365" s="171" t="s">
        <v>171</v>
      </c>
      <c r="C365" s="107">
        <v>3</v>
      </c>
      <c r="D365" s="107">
        <v>0</v>
      </c>
      <c r="E365" s="107">
        <v>0</v>
      </c>
      <c r="F365" s="107">
        <v>0</v>
      </c>
      <c r="G365" s="107">
        <v>0</v>
      </c>
      <c r="H365" s="107"/>
      <c r="I365" s="107"/>
      <c r="J365" s="107"/>
      <c r="K365" s="107"/>
      <c r="L365" s="107"/>
      <c r="M365" s="107"/>
      <c r="N365" s="107"/>
      <c r="O365" s="168">
        <f t="shared" si="75"/>
        <v>3</v>
      </c>
    </row>
    <row r="366" spans="1:15" ht="16.5" customHeight="1" thickTop="1" x14ac:dyDescent="0.15">
      <c r="A366" s="247"/>
      <c r="B366" s="169" t="s">
        <v>159</v>
      </c>
      <c r="C366" s="110">
        <f>IF(C354="","",C354-SUM(C355:C362))</f>
        <v>8951</v>
      </c>
      <c r="D366" s="110">
        <v>51798</v>
      </c>
      <c r="E366" s="110">
        <v>51798</v>
      </c>
      <c r="F366" s="110">
        <v>55729</v>
      </c>
      <c r="G366" s="110">
        <v>39312</v>
      </c>
      <c r="H366" s="110" t="str">
        <f t="shared" ref="H366:M366" si="76">IF(H354="","",H354-SUM(H355:H362))</f>
        <v/>
      </c>
      <c r="I366" s="110" t="str">
        <f t="shared" si="76"/>
        <v/>
      </c>
      <c r="J366" s="110" t="str">
        <f t="shared" si="76"/>
        <v/>
      </c>
      <c r="K366" s="110" t="str">
        <f t="shared" si="76"/>
        <v/>
      </c>
      <c r="L366" s="110" t="str">
        <f t="shared" si="76"/>
        <v/>
      </c>
      <c r="M366" s="110" t="str">
        <f t="shared" si="76"/>
        <v/>
      </c>
      <c r="N366" s="110" t="str">
        <f>IF(N354="","",N354-SUM(N355:N362))</f>
        <v/>
      </c>
      <c r="O366" s="110">
        <f>IF(O354="","",O354-SUM(O355:O362))</f>
        <v>207588</v>
      </c>
    </row>
    <row r="367" spans="1:15" ht="16.5" customHeight="1" thickBot="1" x14ac:dyDescent="0.2">
      <c r="A367" s="248"/>
      <c r="B367" s="170" t="s">
        <v>160</v>
      </c>
      <c r="C367" s="112">
        <f t="shared" ref="C367:O367" si="77">IF(C354="","",IF(C354=0,"―     ",C366/C354))</f>
        <v>4.0319819819819823E-2</v>
      </c>
      <c r="D367" s="112">
        <v>0.18665945945945947</v>
      </c>
      <c r="E367" s="112">
        <v>0.18665945945945947</v>
      </c>
      <c r="F367" s="112">
        <v>0.19126211926211925</v>
      </c>
      <c r="G367" s="112">
        <v>0.28332972972972975</v>
      </c>
      <c r="H367" s="112" t="str">
        <f t="shared" si="77"/>
        <v/>
      </c>
      <c r="I367" s="112" t="str">
        <f t="shared" si="77"/>
        <v/>
      </c>
      <c r="J367" s="112" t="str">
        <f t="shared" si="77"/>
        <v/>
      </c>
      <c r="K367" s="112" t="str">
        <f t="shared" si="77"/>
        <v/>
      </c>
      <c r="L367" s="112" t="str">
        <f t="shared" si="77"/>
        <v/>
      </c>
      <c r="M367" s="112" t="str">
        <f t="shared" si="77"/>
        <v/>
      </c>
      <c r="N367" s="112" t="str">
        <f t="shared" si="77"/>
        <v/>
      </c>
      <c r="O367" s="112">
        <f t="shared" si="77"/>
        <v>0.17196893445169306</v>
      </c>
    </row>
    <row r="368" spans="1:15" ht="16.5" customHeight="1" x14ac:dyDescent="0.15">
      <c r="A368" s="254"/>
      <c r="B368" s="164" t="s">
        <v>21</v>
      </c>
      <c r="C368" s="102">
        <v>1158717</v>
      </c>
      <c r="D368" s="102">
        <v>1332876</v>
      </c>
      <c r="E368" s="102">
        <v>1169330</v>
      </c>
      <c r="F368" s="102">
        <v>1185173</v>
      </c>
      <c r="G368" s="102">
        <v>1166436</v>
      </c>
      <c r="H368" s="102"/>
      <c r="I368" s="102"/>
      <c r="J368" s="102"/>
      <c r="K368" s="102"/>
      <c r="L368" s="102"/>
      <c r="M368" s="102"/>
      <c r="N368" s="102"/>
      <c r="O368" s="103">
        <f>SUM(C368:N368)</f>
        <v>6012532</v>
      </c>
    </row>
    <row r="369" spans="1:15" ht="16.5" customHeight="1" x14ac:dyDescent="0.15">
      <c r="A369" s="247"/>
      <c r="B369" s="166" t="s">
        <v>155</v>
      </c>
      <c r="C369" s="105">
        <v>662875</v>
      </c>
      <c r="D369" s="105">
        <v>697373</v>
      </c>
      <c r="E369" s="105">
        <v>715056</v>
      </c>
      <c r="F369" s="105">
        <v>699225</v>
      </c>
      <c r="G369" s="105">
        <v>685075</v>
      </c>
      <c r="H369" s="105"/>
      <c r="I369" s="105"/>
      <c r="J369" s="105"/>
      <c r="K369" s="105"/>
      <c r="L369" s="105"/>
      <c r="M369" s="105"/>
      <c r="N369" s="105"/>
      <c r="O369" s="105">
        <f t="shared" ref="O369:O379" si="78">SUM(C369:N369)</f>
        <v>3459604</v>
      </c>
    </row>
    <row r="370" spans="1:15" ht="16.5" customHeight="1" x14ac:dyDescent="0.15">
      <c r="A370" s="247"/>
      <c r="B370" s="166" t="s">
        <v>156</v>
      </c>
      <c r="C370" s="105">
        <v>5000</v>
      </c>
      <c r="D370" s="105">
        <v>5000</v>
      </c>
      <c r="E370" s="105">
        <v>5000</v>
      </c>
      <c r="F370" s="105">
        <v>5000</v>
      </c>
      <c r="G370" s="105">
        <v>5000</v>
      </c>
      <c r="H370" s="105"/>
      <c r="I370" s="105"/>
      <c r="J370" s="105"/>
      <c r="K370" s="105"/>
      <c r="L370" s="105"/>
      <c r="M370" s="105"/>
      <c r="N370" s="105"/>
      <c r="O370" s="105">
        <f t="shared" si="78"/>
        <v>25000</v>
      </c>
    </row>
    <row r="371" spans="1:15" ht="16.5" customHeight="1" x14ac:dyDescent="0.15">
      <c r="A371" s="247"/>
      <c r="B371" s="166" t="s">
        <v>26</v>
      </c>
      <c r="C371" s="105">
        <v>46840</v>
      </c>
      <c r="D371" s="105">
        <v>56800</v>
      </c>
      <c r="E371" s="105">
        <v>50680</v>
      </c>
      <c r="F371" s="105">
        <v>53720</v>
      </c>
      <c r="G371" s="105">
        <v>48960</v>
      </c>
      <c r="H371" s="105"/>
      <c r="I371" s="105"/>
      <c r="J371" s="105"/>
      <c r="K371" s="105"/>
      <c r="L371" s="105"/>
      <c r="M371" s="105"/>
      <c r="N371" s="105"/>
      <c r="O371" s="105">
        <f t="shared" si="78"/>
        <v>257000</v>
      </c>
    </row>
    <row r="372" spans="1:15" ht="16.5" customHeight="1" x14ac:dyDescent="0.15">
      <c r="A372" s="247"/>
      <c r="B372" s="166" t="s">
        <v>66</v>
      </c>
      <c r="C372" s="106">
        <v>0</v>
      </c>
      <c r="D372" s="105">
        <v>92740</v>
      </c>
      <c r="E372" s="105">
        <v>0</v>
      </c>
      <c r="F372" s="105">
        <v>7695</v>
      </c>
      <c r="G372" s="105">
        <v>0</v>
      </c>
      <c r="H372" s="105"/>
      <c r="I372" s="106"/>
      <c r="J372" s="106"/>
      <c r="K372" s="106"/>
      <c r="L372" s="106"/>
      <c r="M372" s="106"/>
      <c r="N372" s="106"/>
      <c r="O372" s="105">
        <f t="shared" si="78"/>
        <v>100435</v>
      </c>
    </row>
    <row r="373" spans="1:15" ht="16.5" customHeight="1" x14ac:dyDescent="0.15">
      <c r="A373" s="247"/>
      <c r="B373" s="166" t="s">
        <v>22</v>
      </c>
      <c r="C373" s="105">
        <v>24748</v>
      </c>
      <c r="D373" s="105">
        <v>24748</v>
      </c>
      <c r="E373" s="105">
        <v>24748</v>
      </c>
      <c r="F373" s="105">
        <v>24748</v>
      </c>
      <c r="G373" s="105">
        <v>24748</v>
      </c>
      <c r="H373" s="105"/>
      <c r="I373" s="105"/>
      <c r="J373" s="105"/>
      <c r="K373" s="105"/>
      <c r="L373" s="105"/>
      <c r="M373" s="105"/>
      <c r="N373" s="105"/>
      <c r="O373" s="105">
        <f t="shared" si="78"/>
        <v>123740</v>
      </c>
    </row>
    <row r="374" spans="1:15" ht="16.5" customHeight="1" x14ac:dyDescent="0.15">
      <c r="A374" s="247"/>
      <c r="B374" s="166" t="s">
        <v>67</v>
      </c>
      <c r="C374" s="105">
        <v>2417</v>
      </c>
      <c r="D374" s="105">
        <v>2417</v>
      </c>
      <c r="E374" s="105">
        <v>2417</v>
      </c>
      <c r="F374" s="105">
        <v>2417</v>
      </c>
      <c r="G374" s="105">
        <v>2417</v>
      </c>
      <c r="H374" s="105"/>
      <c r="I374" s="105"/>
      <c r="J374" s="105"/>
      <c r="K374" s="105"/>
      <c r="L374" s="105"/>
      <c r="M374" s="105"/>
      <c r="N374" s="105"/>
      <c r="O374" s="105">
        <f t="shared" si="78"/>
        <v>12085</v>
      </c>
    </row>
    <row r="375" spans="1:15" ht="16.5" customHeight="1" x14ac:dyDescent="0.15">
      <c r="A375" s="247"/>
      <c r="B375" s="166" t="s">
        <v>23</v>
      </c>
      <c r="C375" s="105">
        <v>41244</v>
      </c>
      <c r="D375" s="105">
        <v>41244</v>
      </c>
      <c r="E375" s="105">
        <v>41244</v>
      </c>
      <c r="F375" s="105">
        <v>41244</v>
      </c>
      <c r="G375" s="105">
        <v>41244</v>
      </c>
      <c r="H375" s="105"/>
      <c r="I375" s="105"/>
      <c r="J375" s="105"/>
      <c r="K375" s="105"/>
      <c r="L375" s="105"/>
      <c r="M375" s="105"/>
      <c r="N375" s="105"/>
      <c r="O375" s="105">
        <f t="shared" si="78"/>
        <v>206220</v>
      </c>
    </row>
    <row r="376" spans="1:15" ht="16.5" customHeight="1" x14ac:dyDescent="0.15">
      <c r="A376" s="247"/>
      <c r="B376" s="166" t="s">
        <v>157</v>
      </c>
      <c r="C376" s="105">
        <v>5659</v>
      </c>
      <c r="D376" s="105">
        <v>7239</v>
      </c>
      <c r="E376" s="105">
        <v>6553</v>
      </c>
      <c r="F376" s="105">
        <v>6507</v>
      </c>
      <c r="G376" s="105">
        <v>6284</v>
      </c>
      <c r="H376" s="105"/>
      <c r="I376" s="105"/>
      <c r="J376" s="105"/>
      <c r="K376" s="105"/>
      <c r="L376" s="105"/>
      <c r="M376" s="105"/>
      <c r="N376" s="105"/>
      <c r="O376" s="105">
        <f t="shared" si="78"/>
        <v>32242</v>
      </c>
    </row>
    <row r="377" spans="1:15" ht="16.5" customHeight="1" x14ac:dyDescent="0.15">
      <c r="A377" s="247"/>
      <c r="B377" s="166" t="s">
        <v>158</v>
      </c>
      <c r="C377" s="105">
        <v>714715</v>
      </c>
      <c r="D377" s="105">
        <v>851913</v>
      </c>
      <c r="E377" s="105">
        <v>770736</v>
      </c>
      <c r="F377" s="105">
        <v>765640</v>
      </c>
      <c r="G377" s="105">
        <v>739035</v>
      </c>
      <c r="H377" s="105"/>
      <c r="I377" s="105"/>
      <c r="J377" s="105"/>
      <c r="K377" s="105"/>
      <c r="L377" s="105"/>
      <c r="M377" s="105"/>
      <c r="N377" s="105"/>
      <c r="O377" s="105">
        <f t="shared" si="78"/>
        <v>3842039</v>
      </c>
    </row>
    <row r="378" spans="1:15" ht="16.5" customHeight="1" x14ac:dyDescent="0.15">
      <c r="A378" s="247"/>
      <c r="B378" s="171"/>
      <c r="C378" s="107"/>
      <c r="D378" s="107">
        <v>7</v>
      </c>
      <c r="E378" s="107">
        <v>7</v>
      </c>
      <c r="F378" s="107">
        <v>7</v>
      </c>
      <c r="G378" s="107">
        <v>7</v>
      </c>
      <c r="H378" s="107"/>
      <c r="I378" s="107"/>
      <c r="J378" s="107"/>
      <c r="K378" s="107"/>
      <c r="L378" s="107"/>
      <c r="M378" s="107"/>
      <c r="N378" s="107"/>
      <c r="O378" s="107"/>
    </row>
    <row r="379" spans="1:15" ht="16.5" customHeight="1" thickBot="1" x14ac:dyDescent="0.2">
      <c r="A379" s="247"/>
      <c r="B379" s="171" t="s">
        <v>171</v>
      </c>
      <c r="C379" s="107">
        <v>7</v>
      </c>
      <c r="D379" s="107">
        <v>0</v>
      </c>
      <c r="E379" s="107">
        <v>3</v>
      </c>
      <c r="F379" s="107">
        <v>0</v>
      </c>
      <c r="G379" s="107">
        <v>4</v>
      </c>
      <c r="H379" s="107"/>
      <c r="I379" s="107"/>
      <c r="J379" s="107"/>
      <c r="K379" s="107"/>
      <c r="L379" s="107"/>
      <c r="M379" s="107"/>
      <c r="N379" s="107"/>
      <c r="O379" s="168">
        <f t="shared" si="78"/>
        <v>14</v>
      </c>
    </row>
    <row r="380" spans="1:15" ht="16.5" customHeight="1" thickTop="1" x14ac:dyDescent="0.15">
      <c r="A380" s="247"/>
      <c r="B380" s="169" t="s">
        <v>159</v>
      </c>
      <c r="C380" s="110">
        <f>IF(C368="","",C368-SUM(C369:C376))</f>
        <v>369934</v>
      </c>
      <c r="D380" s="110">
        <v>405315</v>
      </c>
      <c r="E380" s="110">
        <v>323632</v>
      </c>
      <c r="F380" s="110">
        <v>344617</v>
      </c>
      <c r="G380" s="110">
        <v>352708</v>
      </c>
      <c r="H380" s="110" t="str">
        <f t="shared" ref="H380:M380" si="79">IF(H368="","",H368-SUM(H369:H376))</f>
        <v/>
      </c>
      <c r="I380" s="110" t="str">
        <f t="shared" si="79"/>
        <v/>
      </c>
      <c r="J380" s="110" t="str">
        <f t="shared" si="79"/>
        <v/>
      </c>
      <c r="K380" s="110" t="str">
        <f t="shared" si="79"/>
        <v/>
      </c>
      <c r="L380" s="110" t="str">
        <f t="shared" si="79"/>
        <v/>
      </c>
      <c r="M380" s="110" t="str">
        <f t="shared" si="79"/>
        <v/>
      </c>
      <c r="N380" s="110" t="str">
        <f>IF(N368="","",N368-SUM(N369:N376))</f>
        <v/>
      </c>
      <c r="O380" s="110">
        <f>IF(O368="","",O368-SUM(O369:O376))</f>
        <v>1796206</v>
      </c>
    </row>
    <row r="381" spans="1:15" ht="16.5" customHeight="1" thickBot="1" x14ac:dyDescent="0.2">
      <c r="A381" s="248"/>
      <c r="B381" s="170" t="s">
        <v>160</v>
      </c>
      <c r="C381" s="112">
        <f t="shared" ref="C381:O381" si="80">IF(C368="","",IF(C368=0,"―     ",C380/C368))</f>
        <v>0.31926173517778716</v>
      </c>
      <c r="D381" s="112">
        <v>0.30409055305969945</v>
      </c>
      <c r="E381" s="112">
        <v>0.27676703753431453</v>
      </c>
      <c r="F381" s="112">
        <v>0.29077358326590297</v>
      </c>
      <c r="G381" s="112">
        <v>0.30238092788631354</v>
      </c>
      <c r="H381" s="112" t="str">
        <f t="shared" si="80"/>
        <v/>
      </c>
      <c r="I381" s="112" t="str">
        <f t="shared" si="80"/>
        <v/>
      </c>
      <c r="J381" s="112" t="str">
        <f t="shared" si="80"/>
        <v/>
      </c>
      <c r="K381" s="112" t="str">
        <f t="shared" si="80"/>
        <v/>
      </c>
      <c r="L381" s="112" t="str">
        <f t="shared" si="80"/>
        <v/>
      </c>
      <c r="M381" s="112" t="str">
        <f t="shared" si="80"/>
        <v/>
      </c>
      <c r="N381" s="112" t="str">
        <f t="shared" si="80"/>
        <v/>
      </c>
      <c r="O381" s="112">
        <f t="shared" si="80"/>
        <v>0.29874369067807038</v>
      </c>
    </row>
    <row r="382" spans="1:15" ht="16.5" customHeight="1" x14ac:dyDescent="0.15">
      <c r="A382" s="254"/>
      <c r="B382" s="164" t="s">
        <v>21</v>
      </c>
      <c r="C382" s="102">
        <v>1800000</v>
      </c>
      <c r="D382" s="102">
        <v>1800000</v>
      </c>
      <c r="E382" s="102">
        <v>1800000</v>
      </c>
      <c r="F382" s="102">
        <v>1800000</v>
      </c>
      <c r="G382" s="102">
        <v>1800000</v>
      </c>
      <c r="H382" s="102"/>
      <c r="I382" s="102"/>
      <c r="J382" s="102"/>
      <c r="K382" s="102"/>
      <c r="L382" s="102"/>
      <c r="M382" s="102"/>
      <c r="N382" s="102"/>
      <c r="O382" s="103">
        <f>SUM(C382:N382)</f>
        <v>9000000</v>
      </c>
    </row>
    <row r="383" spans="1:15" ht="16.5" customHeight="1" x14ac:dyDescent="0.15">
      <c r="A383" s="255"/>
      <c r="B383" s="166" t="s">
        <v>155</v>
      </c>
      <c r="C383" s="105">
        <v>1160103</v>
      </c>
      <c r="D383" s="105">
        <v>1242438</v>
      </c>
      <c r="E383" s="105">
        <v>1306923</v>
      </c>
      <c r="F383" s="105">
        <v>1308593</v>
      </c>
      <c r="G383" s="105">
        <v>1232950</v>
      </c>
      <c r="H383" s="105"/>
      <c r="I383" s="105"/>
      <c r="J383" s="105"/>
      <c r="K383" s="105"/>
      <c r="L383" s="105"/>
      <c r="M383" s="105"/>
      <c r="N383" s="105"/>
      <c r="O383" s="105">
        <f t="shared" ref="O383:O393" si="81">SUM(C383:N383)</f>
        <v>6251007</v>
      </c>
    </row>
    <row r="384" spans="1:15" ht="16.5" customHeight="1" x14ac:dyDescent="0.15">
      <c r="A384" s="255"/>
      <c r="B384" s="166" t="s">
        <v>156</v>
      </c>
      <c r="C384" s="105">
        <v>5000</v>
      </c>
      <c r="D384" s="105">
        <v>5000</v>
      </c>
      <c r="E384" s="105">
        <v>5000</v>
      </c>
      <c r="F384" s="105">
        <v>5000</v>
      </c>
      <c r="G384" s="105">
        <v>5000</v>
      </c>
      <c r="H384" s="105"/>
      <c r="I384" s="105"/>
      <c r="J384" s="105"/>
      <c r="K384" s="105"/>
      <c r="L384" s="105"/>
      <c r="M384" s="105"/>
      <c r="N384" s="105"/>
      <c r="O384" s="105">
        <f t="shared" si="81"/>
        <v>25000</v>
      </c>
    </row>
    <row r="385" spans="1:15" ht="16.5" customHeight="1" x14ac:dyDescent="0.15">
      <c r="A385" s="255"/>
      <c r="B385" s="166" t="s">
        <v>26</v>
      </c>
      <c r="C385" s="105">
        <v>18090</v>
      </c>
      <c r="D385" s="105">
        <v>20400</v>
      </c>
      <c r="E385" s="105">
        <v>21170</v>
      </c>
      <c r="F385" s="105">
        <v>21510</v>
      </c>
      <c r="G385" s="105">
        <v>19950</v>
      </c>
      <c r="H385" s="105"/>
      <c r="I385" s="105"/>
      <c r="J385" s="105"/>
      <c r="K385" s="105"/>
      <c r="L385" s="105"/>
      <c r="M385" s="105"/>
      <c r="N385" s="105"/>
      <c r="O385" s="105">
        <f t="shared" si="81"/>
        <v>101120</v>
      </c>
    </row>
    <row r="386" spans="1:15" ht="16.5" customHeight="1" x14ac:dyDescent="0.15">
      <c r="A386" s="255"/>
      <c r="B386" s="166" t="s">
        <v>66</v>
      </c>
      <c r="C386" s="106">
        <v>891</v>
      </c>
      <c r="D386" s="105">
        <v>898</v>
      </c>
      <c r="E386" s="105">
        <v>594</v>
      </c>
      <c r="F386" s="105">
        <v>297</v>
      </c>
      <c r="G386" s="105">
        <v>6509</v>
      </c>
      <c r="H386" s="105"/>
      <c r="I386" s="106"/>
      <c r="J386" s="106"/>
      <c r="K386" s="106"/>
      <c r="L386" s="106"/>
      <c r="M386" s="106"/>
      <c r="N386" s="106"/>
      <c r="O386" s="105">
        <f t="shared" si="81"/>
        <v>9189</v>
      </c>
    </row>
    <row r="387" spans="1:15" ht="16.5" customHeight="1" x14ac:dyDescent="0.15">
      <c r="A387" s="255"/>
      <c r="B387" s="166" t="s">
        <v>22</v>
      </c>
      <c r="C387" s="105">
        <v>61166</v>
      </c>
      <c r="D387" s="105">
        <v>61166</v>
      </c>
      <c r="E387" s="105">
        <v>61166</v>
      </c>
      <c r="F387" s="105">
        <v>61166</v>
      </c>
      <c r="G387" s="105">
        <v>61166</v>
      </c>
      <c r="H387" s="105"/>
      <c r="I387" s="105"/>
      <c r="J387" s="105"/>
      <c r="K387" s="105"/>
      <c r="L387" s="105"/>
      <c r="M387" s="105"/>
      <c r="N387" s="105"/>
      <c r="O387" s="105">
        <f t="shared" si="81"/>
        <v>305830</v>
      </c>
    </row>
    <row r="388" spans="1:15" ht="16.5" customHeight="1" x14ac:dyDescent="0.15">
      <c r="A388" s="255"/>
      <c r="B388" s="166" t="s">
        <v>67</v>
      </c>
      <c r="C388" s="105">
        <v>7081</v>
      </c>
      <c r="D388" s="105">
        <v>7081</v>
      </c>
      <c r="E388" s="105">
        <v>7081</v>
      </c>
      <c r="F388" s="105">
        <v>7081</v>
      </c>
      <c r="G388" s="105">
        <v>7081</v>
      </c>
      <c r="H388" s="105"/>
      <c r="I388" s="105"/>
      <c r="J388" s="105"/>
      <c r="K388" s="105"/>
      <c r="L388" s="105"/>
      <c r="M388" s="105"/>
      <c r="N388" s="105"/>
      <c r="O388" s="105">
        <f t="shared" si="81"/>
        <v>35405</v>
      </c>
    </row>
    <row r="389" spans="1:15" ht="16.5" customHeight="1" x14ac:dyDescent="0.15">
      <c r="A389" s="255"/>
      <c r="B389" s="166" t="s">
        <v>23</v>
      </c>
      <c r="C389" s="105">
        <v>101937</v>
      </c>
      <c r="D389" s="105">
        <v>101937</v>
      </c>
      <c r="E389" s="105">
        <v>101937</v>
      </c>
      <c r="F389" s="105">
        <v>101937</v>
      </c>
      <c r="G389" s="105">
        <v>101937</v>
      </c>
      <c r="H389" s="105"/>
      <c r="I389" s="105"/>
      <c r="J389" s="105"/>
      <c r="K389" s="105"/>
      <c r="L389" s="105"/>
      <c r="M389" s="105"/>
      <c r="N389" s="105"/>
      <c r="O389" s="105">
        <f t="shared" si="81"/>
        <v>509685</v>
      </c>
    </row>
    <row r="390" spans="1:15" ht="16.5" customHeight="1" x14ac:dyDescent="0.15">
      <c r="A390" s="255"/>
      <c r="B390" s="166" t="s">
        <v>157</v>
      </c>
      <c r="C390" s="105">
        <v>8757</v>
      </c>
      <c r="D390" s="105">
        <v>10125</v>
      </c>
      <c r="E390" s="105">
        <v>10740</v>
      </c>
      <c r="F390" s="105">
        <v>10693</v>
      </c>
      <c r="G390" s="105">
        <v>10088</v>
      </c>
      <c r="H390" s="105"/>
      <c r="I390" s="105"/>
      <c r="J390" s="105"/>
      <c r="K390" s="105"/>
      <c r="L390" s="105"/>
      <c r="M390" s="105"/>
      <c r="N390" s="105"/>
      <c r="O390" s="105">
        <f t="shared" si="81"/>
        <v>50403</v>
      </c>
    </row>
    <row r="391" spans="1:15" ht="16.5" customHeight="1" x14ac:dyDescent="0.15">
      <c r="A391" s="255"/>
      <c r="B391" s="166" t="s">
        <v>158</v>
      </c>
      <c r="C391" s="105">
        <v>1184084</v>
      </c>
      <c r="D391" s="105">
        <v>1268736</v>
      </c>
      <c r="E391" s="105">
        <v>1333687</v>
      </c>
      <c r="F391" s="105">
        <v>1335400</v>
      </c>
      <c r="G391" s="105">
        <v>1264409</v>
      </c>
      <c r="H391" s="105"/>
      <c r="I391" s="105"/>
      <c r="J391" s="105"/>
      <c r="K391" s="105"/>
      <c r="L391" s="105"/>
      <c r="M391" s="105"/>
      <c r="N391" s="105"/>
      <c r="O391" s="105">
        <f t="shared" si="81"/>
        <v>6386316</v>
      </c>
    </row>
    <row r="392" spans="1:15" ht="16.5" customHeight="1" x14ac:dyDescent="0.15">
      <c r="A392" s="255"/>
      <c r="B392" s="171"/>
      <c r="C392" s="107"/>
      <c r="D392" s="107">
        <v>9</v>
      </c>
      <c r="E392" s="107">
        <v>9</v>
      </c>
      <c r="F392" s="107">
        <v>9</v>
      </c>
      <c r="G392" s="107">
        <v>9</v>
      </c>
      <c r="H392" s="107"/>
      <c r="I392" s="107"/>
      <c r="J392" s="107"/>
      <c r="K392" s="107"/>
      <c r="L392" s="107"/>
      <c r="M392" s="107"/>
      <c r="N392" s="107"/>
      <c r="O392" s="107"/>
    </row>
    <row r="393" spans="1:15" ht="16.5" customHeight="1" thickBot="1" x14ac:dyDescent="0.2">
      <c r="A393" s="255"/>
      <c r="B393" s="171" t="s">
        <v>171</v>
      </c>
      <c r="C393" s="107">
        <v>9</v>
      </c>
      <c r="D393" s="107">
        <v>10</v>
      </c>
      <c r="E393" s="107">
        <v>11</v>
      </c>
      <c r="F393" s="107">
        <v>10</v>
      </c>
      <c r="G393" s="107">
        <v>10</v>
      </c>
      <c r="H393" s="107"/>
      <c r="I393" s="107"/>
      <c r="J393" s="107"/>
      <c r="K393" s="107"/>
      <c r="L393" s="107"/>
      <c r="M393" s="107"/>
      <c r="N393" s="107"/>
      <c r="O393" s="168">
        <f t="shared" si="81"/>
        <v>50</v>
      </c>
    </row>
    <row r="394" spans="1:15" ht="16.5" customHeight="1" thickTop="1" x14ac:dyDescent="0.15">
      <c r="A394" s="255"/>
      <c r="B394" s="169" t="s">
        <v>159</v>
      </c>
      <c r="C394" s="110">
        <f>IF(C382="","",C382-SUM(C383:C390))</f>
        <v>436975</v>
      </c>
      <c r="D394" s="110">
        <v>350955</v>
      </c>
      <c r="E394" s="110">
        <v>285389</v>
      </c>
      <c r="F394" s="110">
        <v>283723</v>
      </c>
      <c r="G394" s="110">
        <v>355319</v>
      </c>
      <c r="H394" s="110" t="str">
        <f t="shared" ref="H394:M394" si="82">IF(H382="","",H382-SUM(H383:H390))</f>
        <v/>
      </c>
      <c r="I394" s="110" t="str">
        <f t="shared" si="82"/>
        <v/>
      </c>
      <c r="J394" s="110" t="str">
        <f t="shared" si="82"/>
        <v/>
      </c>
      <c r="K394" s="110" t="str">
        <f t="shared" si="82"/>
        <v/>
      </c>
      <c r="L394" s="110" t="str">
        <f t="shared" si="82"/>
        <v/>
      </c>
      <c r="M394" s="110" t="str">
        <f t="shared" si="82"/>
        <v/>
      </c>
      <c r="N394" s="110" t="str">
        <f>IF(N382="","",N382-SUM(N383:N390))</f>
        <v/>
      </c>
      <c r="O394" s="110">
        <f>IF(O382="","",O382-SUM(O383:O390))</f>
        <v>1712361</v>
      </c>
    </row>
    <row r="395" spans="1:15" ht="16.5" customHeight="1" thickBot="1" x14ac:dyDescent="0.2">
      <c r="A395" s="256"/>
      <c r="B395" s="170" t="s">
        <v>160</v>
      </c>
      <c r="C395" s="112">
        <f t="shared" ref="C395:O395" si="83">IF(C382="","",IF(C382=0,"―     ",C394/C382))</f>
        <v>0.24276388888888889</v>
      </c>
      <c r="D395" s="112">
        <v>0.19497500000000001</v>
      </c>
      <c r="E395" s="112">
        <v>0.15854944444444444</v>
      </c>
      <c r="F395" s="112">
        <v>0.1576238888888889</v>
      </c>
      <c r="G395" s="112">
        <v>0.19739944444444443</v>
      </c>
      <c r="H395" s="112" t="str">
        <f t="shared" si="83"/>
        <v/>
      </c>
      <c r="I395" s="112" t="str">
        <f t="shared" si="83"/>
        <v/>
      </c>
      <c r="J395" s="112" t="str">
        <f t="shared" si="83"/>
        <v/>
      </c>
      <c r="K395" s="112" t="str">
        <f t="shared" si="83"/>
        <v/>
      </c>
      <c r="L395" s="112" t="str">
        <f t="shared" si="83"/>
        <v/>
      </c>
      <c r="M395" s="112" t="str">
        <f t="shared" si="83"/>
        <v/>
      </c>
      <c r="N395" s="112" t="str">
        <f t="shared" si="83"/>
        <v/>
      </c>
      <c r="O395" s="112">
        <f t="shared" si="83"/>
        <v>0.19026233333333334</v>
      </c>
    </row>
    <row r="396" spans="1:15" ht="16.5" customHeight="1" x14ac:dyDescent="0.15">
      <c r="A396" s="251"/>
      <c r="B396" s="164" t="s">
        <v>21</v>
      </c>
      <c r="C396" s="102">
        <v>197316</v>
      </c>
      <c r="D396" s="102">
        <v>62712</v>
      </c>
      <c r="E396" s="102"/>
      <c r="F396" s="102">
        <v>89900</v>
      </c>
      <c r="G396" s="102">
        <v>329150</v>
      </c>
      <c r="H396" s="102"/>
      <c r="I396" s="102"/>
      <c r="J396" s="102"/>
      <c r="K396" s="102"/>
      <c r="L396" s="102"/>
      <c r="M396" s="102"/>
      <c r="N396" s="102"/>
      <c r="O396" s="103">
        <f>SUM(C396:N396)</f>
        <v>679078</v>
      </c>
    </row>
    <row r="397" spans="1:15" ht="16.5" customHeight="1" x14ac:dyDescent="0.15">
      <c r="A397" s="247"/>
      <c r="B397" s="166" t="s">
        <v>155</v>
      </c>
      <c r="C397" s="105">
        <v>122481</v>
      </c>
      <c r="D397" s="105">
        <v>65275</v>
      </c>
      <c r="E397" s="105"/>
      <c r="F397" s="105">
        <v>52700</v>
      </c>
      <c r="G397" s="105">
        <v>192950</v>
      </c>
      <c r="H397" s="105"/>
      <c r="I397" s="105"/>
      <c r="J397" s="105"/>
      <c r="K397" s="105"/>
      <c r="L397" s="105"/>
      <c r="M397" s="105"/>
      <c r="N397" s="105"/>
      <c r="O397" s="105">
        <f t="shared" ref="O397:O407" si="84">SUM(C397:N397)</f>
        <v>433406</v>
      </c>
    </row>
    <row r="398" spans="1:15" ht="16.5" customHeight="1" x14ac:dyDescent="0.15">
      <c r="A398" s="247"/>
      <c r="B398" s="166" t="s">
        <v>156</v>
      </c>
      <c r="C398" s="105">
        <v>0</v>
      </c>
      <c r="D398" s="105">
        <v>0</v>
      </c>
      <c r="E398" s="105"/>
      <c r="F398" s="105">
        <v>0</v>
      </c>
      <c r="G398" s="105">
        <v>0</v>
      </c>
      <c r="H398" s="105"/>
      <c r="I398" s="105"/>
      <c r="J398" s="105"/>
      <c r="K398" s="105"/>
      <c r="L398" s="105"/>
      <c r="M398" s="105"/>
      <c r="N398" s="105"/>
      <c r="O398" s="105">
        <f t="shared" si="84"/>
        <v>0</v>
      </c>
    </row>
    <row r="399" spans="1:15" ht="16.5" customHeight="1" x14ac:dyDescent="0.15">
      <c r="A399" s="247"/>
      <c r="B399" s="166" t="s">
        <v>26</v>
      </c>
      <c r="C399" s="105">
        <v>25120</v>
      </c>
      <c r="D399" s="105">
        <v>10380</v>
      </c>
      <c r="E399" s="105"/>
      <c r="F399" s="105">
        <v>3680</v>
      </c>
      <c r="G399" s="105">
        <v>12600</v>
      </c>
      <c r="H399" s="105"/>
      <c r="I399" s="105"/>
      <c r="J399" s="105"/>
      <c r="K399" s="105"/>
      <c r="L399" s="105"/>
      <c r="M399" s="105"/>
      <c r="N399" s="105"/>
      <c r="O399" s="105">
        <f t="shared" si="84"/>
        <v>51780</v>
      </c>
    </row>
    <row r="400" spans="1:15" ht="16.5" customHeight="1" x14ac:dyDescent="0.15">
      <c r="A400" s="247"/>
      <c r="B400" s="166" t="s">
        <v>66</v>
      </c>
      <c r="C400" s="106">
        <v>0</v>
      </c>
      <c r="D400" s="105">
        <v>0</v>
      </c>
      <c r="E400" s="105"/>
      <c r="F400" s="105">
        <v>0</v>
      </c>
      <c r="G400" s="105">
        <v>0</v>
      </c>
      <c r="H400" s="105"/>
      <c r="I400" s="106"/>
      <c r="J400" s="106"/>
      <c r="K400" s="106"/>
      <c r="L400" s="106"/>
      <c r="M400" s="106"/>
      <c r="N400" s="106"/>
      <c r="O400" s="105">
        <f t="shared" si="84"/>
        <v>0</v>
      </c>
    </row>
    <row r="401" spans="1:15" ht="16.5" customHeight="1" x14ac:dyDescent="0.15">
      <c r="A401" s="247"/>
      <c r="B401" s="166" t="s">
        <v>22</v>
      </c>
      <c r="C401" s="105">
        <v>8048</v>
      </c>
      <c r="D401" s="105">
        <v>0</v>
      </c>
      <c r="E401" s="105"/>
      <c r="F401" s="105">
        <v>0</v>
      </c>
      <c r="G401" s="105">
        <v>0</v>
      </c>
      <c r="H401" s="105"/>
      <c r="I401" s="105"/>
      <c r="J401" s="105"/>
      <c r="K401" s="105"/>
      <c r="L401" s="105"/>
      <c r="M401" s="105"/>
      <c r="N401" s="105"/>
      <c r="O401" s="105">
        <f t="shared" si="84"/>
        <v>8048</v>
      </c>
    </row>
    <row r="402" spans="1:15" ht="16.5" customHeight="1" x14ac:dyDescent="0.15">
      <c r="A402" s="247"/>
      <c r="B402" s="166" t="s">
        <v>67</v>
      </c>
      <c r="C402" s="105">
        <v>0</v>
      </c>
      <c r="D402" s="105">
        <v>0</v>
      </c>
      <c r="E402" s="105"/>
      <c r="F402" s="105">
        <v>0</v>
      </c>
      <c r="G402" s="105">
        <v>0</v>
      </c>
      <c r="H402" s="105"/>
      <c r="I402" s="105"/>
      <c r="J402" s="105"/>
      <c r="K402" s="105"/>
      <c r="L402" s="105"/>
      <c r="M402" s="105"/>
      <c r="N402" s="105"/>
      <c r="O402" s="105">
        <f t="shared" si="84"/>
        <v>0</v>
      </c>
    </row>
    <row r="403" spans="1:15" ht="16.5" customHeight="1" x14ac:dyDescent="0.15">
      <c r="A403" s="247"/>
      <c r="B403" s="166" t="s">
        <v>23</v>
      </c>
      <c r="C403" s="105">
        <v>13413</v>
      </c>
      <c r="D403" s="105">
        <v>0</v>
      </c>
      <c r="E403" s="105"/>
      <c r="F403" s="105">
        <v>0</v>
      </c>
      <c r="G403" s="105">
        <v>0</v>
      </c>
      <c r="H403" s="105"/>
      <c r="I403" s="105"/>
      <c r="J403" s="105"/>
      <c r="K403" s="105"/>
      <c r="L403" s="105"/>
      <c r="M403" s="105"/>
      <c r="N403" s="105"/>
      <c r="O403" s="105">
        <f t="shared" si="84"/>
        <v>13413</v>
      </c>
    </row>
    <row r="404" spans="1:15" ht="16.5" customHeight="1" x14ac:dyDescent="0.15">
      <c r="A404" s="247"/>
      <c r="B404" s="166" t="s">
        <v>157</v>
      </c>
      <c r="C404" s="105">
        <v>1169</v>
      </c>
      <c r="D404" s="105">
        <v>398</v>
      </c>
      <c r="E404" s="105"/>
      <c r="F404" s="105">
        <v>479</v>
      </c>
      <c r="G404" s="105">
        <v>1746</v>
      </c>
      <c r="H404" s="105"/>
      <c r="I404" s="105"/>
      <c r="J404" s="105"/>
      <c r="K404" s="105"/>
      <c r="L404" s="105"/>
      <c r="M404" s="105"/>
      <c r="N404" s="105"/>
      <c r="O404" s="105">
        <f t="shared" si="84"/>
        <v>3792</v>
      </c>
    </row>
    <row r="405" spans="1:15" ht="16.5" customHeight="1" x14ac:dyDescent="0.15">
      <c r="A405" s="247"/>
      <c r="B405" s="166" t="s">
        <v>158</v>
      </c>
      <c r="C405" s="105">
        <v>147601</v>
      </c>
      <c r="D405" s="105">
        <v>75655</v>
      </c>
      <c r="E405" s="105"/>
      <c r="F405" s="105">
        <v>56380</v>
      </c>
      <c r="G405" s="105">
        <v>205550</v>
      </c>
      <c r="H405" s="105"/>
      <c r="I405" s="105"/>
      <c r="J405" s="105"/>
      <c r="K405" s="105"/>
      <c r="L405" s="105"/>
      <c r="M405" s="105"/>
      <c r="N405" s="105"/>
      <c r="O405" s="105">
        <f t="shared" si="84"/>
        <v>485186</v>
      </c>
    </row>
    <row r="406" spans="1:15" ht="16.5" customHeight="1" x14ac:dyDescent="0.15">
      <c r="A406" s="247"/>
      <c r="B406" s="171"/>
      <c r="C406" s="107"/>
      <c r="D406" s="107">
        <v>2</v>
      </c>
      <c r="E406" s="107"/>
      <c r="F406" s="107">
        <v>1</v>
      </c>
      <c r="G406" s="107">
        <v>2</v>
      </c>
      <c r="H406" s="107"/>
      <c r="I406" s="107"/>
      <c r="J406" s="107"/>
      <c r="K406" s="107"/>
      <c r="L406" s="107"/>
      <c r="M406" s="107"/>
      <c r="N406" s="107"/>
      <c r="O406" s="107"/>
    </row>
    <row r="407" spans="1:15" ht="16.5" customHeight="1" thickBot="1" x14ac:dyDescent="0.2">
      <c r="A407" s="247"/>
      <c r="B407" s="171" t="s">
        <v>171</v>
      </c>
      <c r="C407" s="107">
        <v>0</v>
      </c>
      <c r="D407" s="107">
        <v>0</v>
      </c>
      <c r="E407" s="107"/>
      <c r="F407" s="107">
        <v>0</v>
      </c>
      <c r="G407" s="107">
        <v>0</v>
      </c>
      <c r="H407" s="107"/>
      <c r="I407" s="107"/>
      <c r="J407" s="107"/>
      <c r="K407" s="107"/>
      <c r="L407" s="107"/>
      <c r="M407" s="107"/>
      <c r="N407" s="107"/>
      <c r="O407" s="168">
        <f t="shared" si="84"/>
        <v>0</v>
      </c>
    </row>
    <row r="408" spans="1:15" ht="16.5" customHeight="1" thickTop="1" x14ac:dyDescent="0.15">
      <c r="A408" s="247"/>
      <c r="B408" s="169" t="s">
        <v>159</v>
      </c>
      <c r="C408" s="110">
        <f>IF(C396="","",C396-SUM(C397:C404))</f>
        <v>27085</v>
      </c>
      <c r="D408" s="110">
        <v>-13341</v>
      </c>
      <c r="E408" s="110" t="s">
        <v>181</v>
      </c>
      <c r="F408" s="110">
        <v>33041</v>
      </c>
      <c r="G408" s="110">
        <v>121854</v>
      </c>
      <c r="H408" s="110" t="str">
        <f t="shared" ref="H408:M408" si="85">IF(H396="","",H396-SUM(H397:H404))</f>
        <v/>
      </c>
      <c r="I408" s="110" t="str">
        <f t="shared" si="85"/>
        <v/>
      </c>
      <c r="J408" s="110" t="str">
        <f t="shared" si="85"/>
        <v/>
      </c>
      <c r="K408" s="110" t="str">
        <f t="shared" si="85"/>
        <v/>
      </c>
      <c r="L408" s="110" t="str">
        <f t="shared" si="85"/>
        <v/>
      </c>
      <c r="M408" s="110" t="str">
        <f t="shared" si="85"/>
        <v/>
      </c>
      <c r="N408" s="110" t="str">
        <f>IF(N396="","",N396-SUM(N397:N404))</f>
        <v/>
      </c>
      <c r="O408" s="110">
        <f>IF(O396="","",O396-SUM(O397:O404))</f>
        <v>168639</v>
      </c>
    </row>
    <row r="409" spans="1:15" ht="16.5" customHeight="1" thickBot="1" x14ac:dyDescent="0.2">
      <c r="A409" s="248"/>
      <c r="B409" s="170" t="s">
        <v>160</v>
      </c>
      <c r="C409" s="112">
        <f t="shared" ref="C409:O409" si="86">IF(C396="","",IF(C396=0,"―     ",C408/C396))</f>
        <v>0.13726712481501754</v>
      </c>
      <c r="D409" s="112">
        <v>-0.212734404898584</v>
      </c>
      <c r="E409" s="112" t="s">
        <v>181</v>
      </c>
      <c r="F409" s="112">
        <v>0.36753058954393769</v>
      </c>
      <c r="G409" s="112">
        <v>0.37020811180312929</v>
      </c>
      <c r="H409" s="112" t="str">
        <f t="shared" si="86"/>
        <v/>
      </c>
      <c r="I409" s="112" t="str">
        <f t="shared" si="86"/>
        <v/>
      </c>
      <c r="J409" s="112" t="str">
        <f t="shared" si="86"/>
        <v/>
      </c>
      <c r="K409" s="112" t="str">
        <f t="shared" si="86"/>
        <v/>
      </c>
      <c r="L409" s="112" t="str">
        <f t="shared" si="86"/>
        <v/>
      </c>
      <c r="M409" s="112" t="str">
        <f t="shared" si="86"/>
        <v/>
      </c>
      <c r="N409" s="112" t="str">
        <f t="shared" si="86"/>
        <v/>
      </c>
      <c r="O409" s="112">
        <f t="shared" si="86"/>
        <v>0.24833524278507035</v>
      </c>
    </row>
    <row r="410" spans="1:15" ht="16.5" customHeight="1" x14ac:dyDescent="0.15">
      <c r="A410" s="251"/>
      <c r="B410" s="164" t="s">
        <v>21</v>
      </c>
      <c r="C410" s="102">
        <v>9065749</v>
      </c>
      <c r="D410" s="102">
        <v>10517439</v>
      </c>
      <c r="E410" s="102">
        <v>9702206</v>
      </c>
      <c r="F410" s="102">
        <v>9639530</v>
      </c>
      <c r="G410" s="102"/>
      <c r="H410" s="102"/>
      <c r="I410" s="102"/>
      <c r="J410" s="102"/>
      <c r="K410" s="102"/>
      <c r="L410" s="102"/>
      <c r="M410" s="102"/>
      <c r="N410" s="102"/>
      <c r="O410" s="103">
        <f>SUM(C410:N410)</f>
        <v>38924924</v>
      </c>
    </row>
    <row r="411" spans="1:15" ht="16.5" customHeight="1" x14ac:dyDescent="0.15">
      <c r="A411" s="247"/>
      <c r="B411" s="166" t="s">
        <v>155</v>
      </c>
      <c r="C411" s="105">
        <v>5858338</v>
      </c>
      <c r="D411" s="105">
        <v>6481680</v>
      </c>
      <c r="E411" s="105">
        <v>6063390</v>
      </c>
      <c r="F411" s="105">
        <v>6312180</v>
      </c>
      <c r="G411" s="105"/>
      <c r="H411" s="105"/>
      <c r="I411" s="105"/>
      <c r="J411" s="105"/>
      <c r="K411" s="105"/>
      <c r="L411" s="105"/>
      <c r="M411" s="105"/>
      <c r="N411" s="105"/>
      <c r="O411" s="105">
        <f t="shared" ref="O411:O421" si="87">SUM(C411:N411)</f>
        <v>24715588</v>
      </c>
    </row>
    <row r="412" spans="1:15" ht="16.5" customHeight="1" x14ac:dyDescent="0.15">
      <c r="A412" s="247"/>
      <c r="B412" s="166" t="s">
        <v>156</v>
      </c>
      <c r="C412" s="105">
        <v>0</v>
      </c>
      <c r="D412" s="105">
        <v>0</v>
      </c>
      <c r="E412" s="105">
        <v>0</v>
      </c>
      <c r="F412" s="105">
        <v>15200</v>
      </c>
      <c r="G412" s="105"/>
      <c r="H412" s="105"/>
      <c r="I412" s="105"/>
      <c r="J412" s="105"/>
      <c r="K412" s="105"/>
      <c r="L412" s="105"/>
      <c r="M412" s="105"/>
      <c r="N412" s="105"/>
      <c r="O412" s="105">
        <f t="shared" si="87"/>
        <v>15200</v>
      </c>
    </row>
    <row r="413" spans="1:15" ht="16.5" customHeight="1" x14ac:dyDescent="0.15">
      <c r="A413" s="247"/>
      <c r="B413" s="166" t="s">
        <v>26</v>
      </c>
      <c r="C413" s="105">
        <v>158760</v>
      </c>
      <c r="D413" s="105">
        <v>171590</v>
      </c>
      <c r="E413" s="105">
        <v>151880</v>
      </c>
      <c r="F413" s="105">
        <v>153270</v>
      </c>
      <c r="G413" s="105"/>
      <c r="H413" s="105"/>
      <c r="I413" s="105"/>
      <c r="J413" s="105"/>
      <c r="K413" s="105"/>
      <c r="L413" s="105"/>
      <c r="M413" s="105"/>
      <c r="N413" s="105"/>
      <c r="O413" s="105">
        <f t="shared" si="87"/>
        <v>635500</v>
      </c>
    </row>
    <row r="414" spans="1:15" ht="16.5" customHeight="1" x14ac:dyDescent="0.15">
      <c r="A414" s="247"/>
      <c r="B414" s="166" t="s">
        <v>66</v>
      </c>
      <c r="C414" s="106">
        <v>7722</v>
      </c>
      <c r="D414" s="105">
        <v>228502</v>
      </c>
      <c r="E414" s="105">
        <v>159414</v>
      </c>
      <c r="F414" s="105">
        <v>120415</v>
      </c>
      <c r="G414" s="105"/>
      <c r="H414" s="105"/>
      <c r="I414" s="106"/>
      <c r="J414" s="106"/>
      <c r="K414" s="106"/>
      <c r="L414" s="106"/>
      <c r="M414" s="106"/>
      <c r="N414" s="106"/>
      <c r="O414" s="105">
        <f t="shared" si="87"/>
        <v>516053</v>
      </c>
    </row>
    <row r="415" spans="1:15" ht="16.5" customHeight="1" x14ac:dyDescent="0.15">
      <c r="A415" s="247"/>
      <c r="B415" s="166" t="s">
        <v>22</v>
      </c>
      <c r="C415" s="105">
        <v>324938</v>
      </c>
      <c r="D415" s="105">
        <v>316387</v>
      </c>
      <c r="E415" s="105">
        <v>300291</v>
      </c>
      <c r="F415" s="105">
        <v>308339</v>
      </c>
      <c r="G415" s="105"/>
      <c r="H415" s="105"/>
      <c r="I415" s="105"/>
      <c r="J415" s="105"/>
      <c r="K415" s="105"/>
      <c r="L415" s="105"/>
      <c r="M415" s="105"/>
      <c r="N415" s="105"/>
      <c r="O415" s="105">
        <f t="shared" si="87"/>
        <v>1249955</v>
      </c>
    </row>
    <row r="416" spans="1:15" ht="16.5" customHeight="1" x14ac:dyDescent="0.15">
      <c r="A416" s="247"/>
      <c r="B416" s="166" t="s">
        <v>67</v>
      </c>
      <c r="C416" s="105">
        <v>35489</v>
      </c>
      <c r="D416" s="105">
        <v>35489</v>
      </c>
      <c r="E416" s="105">
        <v>34172</v>
      </c>
      <c r="F416" s="105">
        <v>35412</v>
      </c>
      <c r="G416" s="105"/>
      <c r="H416" s="105"/>
      <c r="I416" s="105"/>
      <c r="J416" s="105"/>
      <c r="K416" s="105"/>
      <c r="L416" s="105"/>
      <c r="M416" s="105"/>
      <c r="N416" s="105"/>
      <c r="O416" s="105">
        <f t="shared" si="87"/>
        <v>140562</v>
      </c>
    </row>
    <row r="417" spans="1:15" ht="16.5" customHeight="1" x14ac:dyDescent="0.15">
      <c r="A417" s="247"/>
      <c r="B417" s="166" t="s">
        <v>23</v>
      </c>
      <c r="C417" s="105">
        <v>541538</v>
      </c>
      <c r="D417" s="105">
        <v>527287</v>
      </c>
      <c r="E417" s="105">
        <v>500462</v>
      </c>
      <c r="F417" s="105">
        <v>513875</v>
      </c>
      <c r="G417" s="105"/>
      <c r="H417" s="105"/>
      <c r="I417" s="105"/>
      <c r="J417" s="105"/>
      <c r="K417" s="105"/>
      <c r="L417" s="105"/>
      <c r="M417" s="105"/>
      <c r="N417" s="105"/>
      <c r="O417" s="105">
        <f t="shared" si="87"/>
        <v>2083162</v>
      </c>
    </row>
    <row r="418" spans="1:15" ht="16.5" customHeight="1" x14ac:dyDescent="0.15">
      <c r="A418" s="247"/>
      <c r="B418" s="166" t="s">
        <v>157</v>
      </c>
      <c r="C418" s="105">
        <v>47559</v>
      </c>
      <c r="D418" s="105">
        <v>58493</v>
      </c>
      <c r="E418" s="105">
        <v>54179</v>
      </c>
      <c r="F418" s="105">
        <v>56106</v>
      </c>
      <c r="G418" s="105"/>
      <c r="H418" s="105"/>
      <c r="I418" s="105"/>
      <c r="J418" s="105"/>
      <c r="K418" s="105"/>
      <c r="L418" s="105"/>
      <c r="M418" s="105"/>
      <c r="N418" s="105"/>
      <c r="O418" s="105">
        <f t="shared" si="87"/>
        <v>216337</v>
      </c>
    </row>
    <row r="419" spans="1:15" ht="16.5" customHeight="1" x14ac:dyDescent="0.15">
      <c r="A419" s="247"/>
      <c r="B419" s="166" t="s">
        <v>158</v>
      </c>
      <c r="C419" s="105">
        <v>6024820</v>
      </c>
      <c r="D419" s="105">
        <v>6881772</v>
      </c>
      <c r="E419" s="105">
        <v>6374684</v>
      </c>
      <c r="F419" s="105">
        <v>6601065</v>
      </c>
      <c r="G419" s="105"/>
      <c r="H419" s="105"/>
      <c r="I419" s="105"/>
      <c r="J419" s="105"/>
      <c r="K419" s="105"/>
      <c r="L419" s="105"/>
      <c r="M419" s="105"/>
      <c r="N419" s="105"/>
      <c r="O419" s="105">
        <f t="shared" si="87"/>
        <v>25882341</v>
      </c>
    </row>
    <row r="420" spans="1:15" ht="16.5" customHeight="1" x14ac:dyDescent="0.15">
      <c r="A420" s="247"/>
      <c r="B420" s="171"/>
      <c r="C420" s="107"/>
      <c r="D420" s="107">
        <v>39</v>
      </c>
      <c r="E420" s="107">
        <v>36</v>
      </c>
      <c r="F420" s="107">
        <v>35</v>
      </c>
      <c r="G420" s="107"/>
      <c r="H420" s="107"/>
      <c r="I420" s="107"/>
      <c r="J420" s="107"/>
      <c r="K420" s="107"/>
      <c r="L420" s="107"/>
      <c r="M420" s="107"/>
      <c r="N420" s="107"/>
      <c r="O420" s="107"/>
    </row>
    <row r="421" spans="1:15" ht="16.5" customHeight="1" thickBot="1" x14ac:dyDescent="0.2">
      <c r="A421" s="247"/>
      <c r="B421" s="171" t="s">
        <v>171</v>
      </c>
      <c r="C421" s="107">
        <v>41</v>
      </c>
      <c r="D421" s="107">
        <v>38</v>
      </c>
      <c r="E421" s="107">
        <v>41</v>
      </c>
      <c r="F421" s="107">
        <v>69</v>
      </c>
      <c r="G421" s="107"/>
      <c r="H421" s="107"/>
      <c r="I421" s="107"/>
      <c r="J421" s="107"/>
      <c r="K421" s="107"/>
      <c r="L421" s="107"/>
      <c r="M421" s="107"/>
      <c r="N421" s="107"/>
      <c r="O421" s="168">
        <f t="shared" si="87"/>
        <v>189</v>
      </c>
    </row>
    <row r="422" spans="1:15" ht="16.5" customHeight="1" thickTop="1" x14ac:dyDescent="0.15">
      <c r="A422" s="247"/>
      <c r="B422" s="169" t="s">
        <v>159</v>
      </c>
      <c r="C422" s="110">
        <f>IF(C410="","",C410-SUM(C411:C418))</f>
        <v>2091405</v>
      </c>
      <c r="D422" s="110">
        <v>2698011</v>
      </c>
      <c r="E422" s="110">
        <v>2438418</v>
      </c>
      <c r="F422" s="110">
        <v>2124733</v>
      </c>
      <c r="G422" s="110" t="s">
        <v>181</v>
      </c>
      <c r="H422" s="110" t="str">
        <f t="shared" ref="H422:M422" si="88">IF(H410="","",H410-SUM(H411:H418))</f>
        <v/>
      </c>
      <c r="I422" s="110" t="str">
        <f t="shared" si="88"/>
        <v/>
      </c>
      <c r="J422" s="110" t="str">
        <f t="shared" si="88"/>
        <v/>
      </c>
      <c r="K422" s="110" t="str">
        <f t="shared" si="88"/>
        <v/>
      </c>
      <c r="L422" s="110" t="str">
        <f t="shared" si="88"/>
        <v/>
      </c>
      <c r="M422" s="110" t="str">
        <f t="shared" si="88"/>
        <v/>
      </c>
      <c r="N422" s="110" t="str">
        <f>IF(N410="","",N410-SUM(N411:N418))</f>
        <v/>
      </c>
      <c r="O422" s="110">
        <f>IF(O410="","",O410-SUM(O411:O418))</f>
        <v>9352567</v>
      </c>
    </row>
    <row r="423" spans="1:15" ht="16.5" customHeight="1" thickBot="1" x14ac:dyDescent="0.2">
      <c r="A423" s="248"/>
      <c r="B423" s="170" t="s">
        <v>160</v>
      </c>
      <c r="C423" s="112">
        <f t="shared" ref="C423:O423" si="89">IF(C410="","",IF(C410=0,"―     ",C422/C410))</f>
        <v>0.2306930183043894</v>
      </c>
      <c r="D423" s="112">
        <v>0.25652737325122588</v>
      </c>
      <c r="E423" s="112">
        <v>0.25132614170426809</v>
      </c>
      <c r="F423" s="112">
        <v>0.22041873410840571</v>
      </c>
      <c r="G423" s="112" t="s">
        <v>181</v>
      </c>
      <c r="H423" s="112" t="str">
        <f t="shared" si="89"/>
        <v/>
      </c>
      <c r="I423" s="112" t="str">
        <f t="shared" si="89"/>
        <v/>
      </c>
      <c r="J423" s="112" t="str">
        <f t="shared" si="89"/>
        <v/>
      </c>
      <c r="K423" s="112" t="str">
        <f t="shared" si="89"/>
        <v/>
      </c>
      <c r="L423" s="112" t="str">
        <f t="shared" si="89"/>
        <v/>
      </c>
      <c r="M423" s="112" t="str">
        <f t="shared" si="89"/>
        <v/>
      </c>
      <c r="N423" s="112" t="str">
        <f t="shared" si="89"/>
        <v/>
      </c>
      <c r="O423" s="112">
        <f t="shared" si="89"/>
        <v>0.24027193990153969</v>
      </c>
    </row>
    <row r="424" spans="1:15" ht="16.5" customHeight="1" x14ac:dyDescent="0.15">
      <c r="A424" s="251"/>
      <c r="B424" s="164" t="s">
        <v>21</v>
      </c>
      <c r="C424" s="102">
        <v>16394979</v>
      </c>
      <c r="D424" s="102">
        <v>16497625</v>
      </c>
      <c r="E424" s="102">
        <v>17085084</v>
      </c>
      <c r="F424" s="102">
        <v>16709363</v>
      </c>
      <c r="G424" s="102">
        <v>16390007</v>
      </c>
      <c r="H424" s="102"/>
      <c r="I424" s="102"/>
      <c r="J424" s="102"/>
      <c r="K424" s="102"/>
      <c r="L424" s="102"/>
      <c r="M424" s="102"/>
      <c r="N424" s="102"/>
      <c r="O424" s="103">
        <f>SUM(C424:N424)</f>
        <v>83077058</v>
      </c>
    </row>
    <row r="425" spans="1:15" ht="16.5" customHeight="1" x14ac:dyDescent="0.15">
      <c r="A425" s="247"/>
      <c r="B425" s="166" t="s">
        <v>155</v>
      </c>
      <c r="C425" s="105">
        <v>10871629</v>
      </c>
      <c r="D425" s="105">
        <v>11086683</v>
      </c>
      <c r="E425" s="105">
        <v>11527291</v>
      </c>
      <c r="F425" s="105">
        <v>10974250</v>
      </c>
      <c r="G425" s="105">
        <v>11413766</v>
      </c>
      <c r="H425" s="105"/>
      <c r="I425" s="105"/>
      <c r="J425" s="105"/>
      <c r="K425" s="105"/>
      <c r="L425" s="105"/>
      <c r="M425" s="105"/>
      <c r="N425" s="105"/>
      <c r="O425" s="105">
        <f t="shared" ref="O425:O435" si="90">SUM(C425:N425)</f>
        <v>55873619</v>
      </c>
    </row>
    <row r="426" spans="1:15" ht="16.5" customHeight="1" x14ac:dyDescent="0.15">
      <c r="A426" s="247"/>
      <c r="B426" s="166" t="s">
        <v>156</v>
      </c>
      <c r="C426" s="105">
        <v>22500</v>
      </c>
      <c r="D426" s="105">
        <v>24500</v>
      </c>
      <c r="E426" s="105">
        <v>46750</v>
      </c>
      <c r="F426" s="105">
        <v>23500</v>
      </c>
      <c r="G426" s="105">
        <v>26000</v>
      </c>
      <c r="H426" s="105"/>
      <c r="I426" s="105"/>
      <c r="J426" s="105"/>
      <c r="K426" s="105"/>
      <c r="L426" s="105"/>
      <c r="M426" s="105"/>
      <c r="N426" s="105"/>
      <c r="O426" s="105">
        <f t="shared" si="90"/>
        <v>143250</v>
      </c>
    </row>
    <row r="427" spans="1:15" ht="16.5" customHeight="1" x14ac:dyDescent="0.15">
      <c r="A427" s="247"/>
      <c r="B427" s="166" t="s">
        <v>26</v>
      </c>
      <c r="C427" s="105">
        <v>760680</v>
      </c>
      <c r="D427" s="105">
        <v>799700</v>
      </c>
      <c r="E427" s="105">
        <v>853200</v>
      </c>
      <c r="F427" s="105">
        <v>811140</v>
      </c>
      <c r="G427" s="105">
        <v>821280</v>
      </c>
      <c r="H427" s="105"/>
      <c r="I427" s="105"/>
      <c r="J427" s="105"/>
      <c r="K427" s="105"/>
      <c r="L427" s="105"/>
      <c r="M427" s="105"/>
      <c r="N427" s="105"/>
      <c r="O427" s="105">
        <f t="shared" si="90"/>
        <v>4046000</v>
      </c>
    </row>
    <row r="428" spans="1:15" ht="16.5" customHeight="1" x14ac:dyDescent="0.15">
      <c r="A428" s="247"/>
      <c r="B428" s="166" t="s">
        <v>66</v>
      </c>
      <c r="C428" s="106">
        <v>12515</v>
      </c>
      <c r="D428" s="105">
        <v>3467</v>
      </c>
      <c r="E428" s="105">
        <v>659</v>
      </c>
      <c r="F428" s="105">
        <v>155911</v>
      </c>
      <c r="G428" s="105">
        <v>0</v>
      </c>
      <c r="H428" s="105"/>
      <c r="I428" s="106"/>
      <c r="J428" s="106"/>
      <c r="K428" s="106"/>
      <c r="L428" s="106"/>
      <c r="M428" s="106"/>
      <c r="N428" s="106"/>
      <c r="O428" s="105">
        <f t="shared" si="90"/>
        <v>172552</v>
      </c>
    </row>
    <row r="429" spans="1:15" ht="16.5" customHeight="1" x14ac:dyDescent="0.15">
      <c r="A429" s="247"/>
      <c r="B429" s="166" t="s">
        <v>22</v>
      </c>
      <c r="C429" s="105">
        <v>610139</v>
      </c>
      <c r="D429" s="105">
        <v>565875</v>
      </c>
      <c r="E429" s="105">
        <v>539719</v>
      </c>
      <c r="F429" s="105">
        <v>539216</v>
      </c>
      <c r="G429" s="105">
        <v>575935</v>
      </c>
      <c r="H429" s="105"/>
      <c r="I429" s="105"/>
      <c r="J429" s="105"/>
      <c r="K429" s="105"/>
      <c r="L429" s="105"/>
      <c r="M429" s="105"/>
      <c r="N429" s="105"/>
      <c r="O429" s="105">
        <f t="shared" si="90"/>
        <v>2830884</v>
      </c>
    </row>
    <row r="430" spans="1:15" ht="16.5" customHeight="1" x14ac:dyDescent="0.15">
      <c r="A430" s="247"/>
      <c r="B430" s="166" t="s">
        <v>67</v>
      </c>
      <c r="C430" s="105">
        <v>46028</v>
      </c>
      <c r="D430" s="105">
        <v>43316</v>
      </c>
      <c r="E430" s="105">
        <v>39287</v>
      </c>
      <c r="F430" s="105">
        <v>43549</v>
      </c>
      <c r="G430" s="105">
        <v>46339</v>
      </c>
      <c r="H430" s="105"/>
      <c r="I430" s="105"/>
      <c r="J430" s="105"/>
      <c r="K430" s="105"/>
      <c r="L430" s="105"/>
      <c r="M430" s="105"/>
      <c r="N430" s="105"/>
      <c r="O430" s="105">
        <f t="shared" si="90"/>
        <v>218519</v>
      </c>
    </row>
    <row r="431" spans="1:15" ht="16.5" customHeight="1" x14ac:dyDescent="0.15">
      <c r="A431" s="247"/>
      <c r="B431" s="166" t="s">
        <v>23</v>
      </c>
      <c r="C431" s="105">
        <v>1016848</v>
      </c>
      <c r="D431" s="105">
        <v>943079</v>
      </c>
      <c r="E431" s="105">
        <v>899488</v>
      </c>
      <c r="F431" s="105">
        <v>898649</v>
      </c>
      <c r="G431" s="105">
        <v>959844</v>
      </c>
      <c r="H431" s="105"/>
      <c r="I431" s="105"/>
      <c r="J431" s="105"/>
      <c r="K431" s="105"/>
      <c r="L431" s="105"/>
      <c r="M431" s="105"/>
      <c r="N431" s="105"/>
      <c r="O431" s="105">
        <f t="shared" si="90"/>
        <v>4717908</v>
      </c>
    </row>
    <row r="432" spans="1:15" ht="16.5" customHeight="1" x14ac:dyDescent="0.15">
      <c r="A432" s="247"/>
      <c r="B432" s="166" t="s">
        <v>157</v>
      </c>
      <c r="C432" s="105">
        <v>92374</v>
      </c>
      <c r="D432" s="105">
        <v>101256</v>
      </c>
      <c r="E432" s="105">
        <v>105634</v>
      </c>
      <c r="F432" s="105">
        <v>101693</v>
      </c>
      <c r="G432" s="105">
        <v>103952</v>
      </c>
      <c r="H432" s="105"/>
      <c r="I432" s="105"/>
      <c r="J432" s="105"/>
      <c r="K432" s="105"/>
      <c r="L432" s="105"/>
      <c r="M432" s="105"/>
      <c r="N432" s="105"/>
      <c r="O432" s="105">
        <f t="shared" si="90"/>
        <v>504909</v>
      </c>
    </row>
    <row r="433" spans="1:15" ht="16.5" customHeight="1" x14ac:dyDescent="0.15">
      <c r="A433" s="247"/>
      <c r="B433" s="166" t="s">
        <v>158</v>
      </c>
      <c r="C433" s="105">
        <v>11667324</v>
      </c>
      <c r="D433" s="105">
        <v>11914350</v>
      </c>
      <c r="E433" s="105">
        <v>12427900</v>
      </c>
      <c r="F433" s="105">
        <v>11964801</v>
      </c>
      <c r="G433" s="105">
        <v>12261046</v>
      </c>
      <c r="H433" s="105"/>
      <c r="I433" s="105"/>
      <c r="J433" s="105"/>
      <c r="K433" s="105"/>
      <c r="L433" s="105"/>
      <c r="M433" s="105"/>
      <c r="N433" s="105"/>
      <c r="O433" s="105">
        <f t="shared" si="90"/>
        <v>60235421</v>
      </c>
    </row>
    <row r="434" spans="1:15" ht="16.5" customHeight="1" x14ac:dyDescent="0.15">
      <c r="A434" s="247"/>
      <c r="B434" s="171"/>
      <c r="C434" s="107"/>
      <c r="D434" s="107">
        <v>76</v>
      </c>
      <c r="E434" s="107">
        <v>77</v>
      </c>
      <c r="F434" s="107">
        <v>74</v>
      </c>
      <c r="G434" s="107">
        <v>78</v>
      </c>
      <c r="H434" s="107"/>
      <c r="I434" s="107"/>
      <c r="J434" s="107"/>
      <c r="K434" s="107"/>
      <c r="L434" s="107"/>
      <c r="M434" s="107"/>
      <c r="N434" s="107"/>
      <c r="O434" s="107"/>
    </row>
    <row r="435" spans="1:15" ht="16.5" customHeight="1" thickBot="1" x14ac:dyDescent="0.2">
      <c r="A435" s="247"/>
      <c r="B435" s="171" t="s">
        <v>171</v>
      </c>
      <c r="C435" s="107">
        <v>40</v>
      </c>
      <c r="D435" s="107">
        <v>46</v>
      </c>
      <c r="E435" s="107">
        <v>48</v>
      </c>
      <c r="F435" s="107">
        <v>50</v>
      </c>
      <c r="G435" s="107">
        <v>84</v>
      </c>
      <c r="H435" s="107"/>
      <c r="I435" s="107"/>
      <c r="J435" s="107"/>
      <c r="K435" s="107"/>
      <c r="L435" s="107"/>
      <c r="M435" s="107"/>
      <c r="N435" s="107"/>
      <c r="O435" s="168">
        <f t="shared" si="90"/>
        <v>268</v>
      </c>
    </row>
    <row r="436" spans="1:15" ht="16.5" customHeight="1" thickTop="1" x14ac:dyDescent="0.15">
      <c r="A436" s="247"/>
      <c r="B436" s="169" t="s">
        <v>159</v>
      </c>
      <c r="C436" s="110">
        <f>IF(C424="","",C424-SUM(C425:C432))</f>
        <v>2962266</v>
      </c>
      <c r="D436" s="110">
        <v>2929749</v>
      </c>
      <c r="E436" s="110">
        <v>3073056</v>
      </c>
      <c r="F436" s="110">
        <v>3161455</v>
      </c>
      <c r="G436" s="110">
        <v>2442891</v>
      </c>
      <c r="H436" s="110" t="str">
        <f t="shared" ref="H436:M436" si="91">IF(H424="","",H424-SUM(H425:H432))</f>
        <v/>
      </c>
      <c r="I436" s="110" t="str">
        <f t="shared" si="91"/>
        <v/>
      </c>
      <c r="J436" s="110" t="str">
        <f t="shared" si="91"/>
        <v/>
      </c>
      <c r="K436" s="110" t="str">
        <f t="shared" si="91"/>
        <v/>
      </c>
      <c r="L436" s="110" t="str">
        <f t="shared" si="91"/>
        <v/>
      </c>
      <c r="M436" s="110" t="str">
        <f t="shared" si="91"/>
        <v/>
      </c>
      <c r="N436" s="110" t="str">
        <f>IF(N424="","",N424-SUM(N425:N432))</f>
        <v/>
      </c>
      <c r="O436" s="110">
        <f>IF(O424="","",O424-SUM(O425:O432))</f>
        <v>14569417</v>
      </c>
    </row>
    <row r="437" spans="1:15" ht="16.5" customHeight="1" thickBot="1" x14ac:dyDescent="0.2">
      <c r="A437" s="248"/>
      <c r="B437" s="170" t="s">
        <v>160</v>
      </c>
      <c r="C437" s="112">
        <f t="shared" ref="C437:O437" si="92">IF(C424="","",IF(C424=0,"―     ",C436/C424))</f>
        <v>0.18068129272992664</v>
      </c>
      <c r="D437" s="112">
        <v>0.1775861070911722</v>
      </c>
      <c r="E437" s="112">
        <v>0.17986777237969681</v>
      </c>
      <c r="F437" s="112">
        <v>0.18920260455171151</v>
      </c>
      <c r="G437" s="112">
        <v>0.14904758735002371</v>
      </c>
      <c r="H437" s="112" t="str">
        <f t="shared" si="92"/>
        <v/>
      </c>
      <c r="I437" s="112" t="str">
        <f t="shared" si="92"/>
        <v/>
      </c>
      <c r="J437" s="112" t="str">
        <f t="shared" si="92"/>
        <v/>
      </c>
      <c r="K437" s="112" t="str">
        <f t="shared" si="92"/>
        <v/>
      </c>
      <c r="L437" s="112" t="str">
        <f t="shared" si="92"/>
        <v/>
      </c>
      <c r="M437" s="112" t="str">
        <f t="shared" si="92"/>
        <v/>
      </c>
      <c r="N437" s="112" t="str">
        <f t="shared" si="92"/>
        <v/>
      </c>
      <c r="O437" s="112">
        <f t="shared" si="92"/>
        <v>0.17537232721938709</v>
      </c>
    </row>
    <row r="438" spans="1:15" ht="16.5" customHeight="1" x14ac:dyDescent="0.15">
      <c r="A438" s="251"/>
      <c r="B438" s="164" t="s">
        <v>21</v>
      </c>
      <c r="C438" s="102">
        <v>320000</v>
      </c>
      <c r="D438" s="102">
        <v>304000</v>
      </c>
      <c r="E438" s="102">
        <v>352000</v>
      </c>
      <c r="F438" s="102">
        <v>367250</v>
      </c>
      <c r="G438" s="102">
        <v>309000</v>
      </c>
      <c r="H438" s="102"/>
      <c r="I438" s="102"/>
      <c r="J438" s="102"/>
      <c r="K438" s="102"/>
      <c r="L438" s="102"/>
      <c r="M438" s="102"/>
      <c r="N438" s="102"/>
      <c r="O438" s="103">
        <f>SUM(C438:N438)</f>
        <v>1652250</v>
      </c>
    </row>
    <row r="439" spans="1:15" ht="16.5" customHeight="1" x14ac:dyDescent="0.15">
      <c r="A439" s="247"/>
      <c r="B439" s="166" t="s">
        <v>155</v>
      </c>
      <c r="C439" s="105">
        <v>224000</v>
      </c>
      <c r="D439" s="105">
        <v>235200</v>
      </c>
      <c r="E439" s="105">
        <v>246400</v>
      </c>
      <c r="F439" s="105">
        <v>235200</v>
      </c>
      <c r="G439" s="105">
        <v>224000</v>
      </c>
      <c r="H439" s="105"/>
      <c r="I439" s="105"/>
      <c r="J439" s="105"/>
      <c r="K439" s="105"/>
      <c r="L439" s="105"/>
      <c r="M439" s="105"/>
      <c r="N439" s="105"/>
      <c r="O439" s="105">
        <f t="shared" ref="O439:O449" si="93">SUM(C439:N439)</f>
        <v>1164800</v>
      </c>
    </row>
    <row r="440" spans="1:15" ht="16.5" customHeight="1" x14ac:dyDescent="0.15">
      <c r="A440" s="247"/>
      <c r="B440" s="166" t="s">
        <v>156</v>
      </c>
      <c r="C440" s="105">
        <v>0</v>
      </c>
      <c r="D440" s="105">
        <v>0</v>
      </c>
      <c r="E440" s="105">
        <v>0</v>
      </c>
      <c r="F440" s="105">
        <v>0</v>
      </c>
      <c r="G440" s="105">
        <v>0</v>
      </c>
      <c r="H440" s="105"/>
      <c r="I440" s="105"/>
      <c r="J440" s="105"/>
      <c r="K440" s="105"/>
      <c r="L440" s="105"/>
      <c r="M440" s="105"/>
      <c r="N440" s="105"/>
      <c r="O440" s="105">
        <f t="shared" si="93"/>
        <v>0</v>
      </c>
    </row>
    <row r="441" spans="1:15" ht="16.5" customHeight="1" x14ac:dyDescent="0.15">
      <c r="A441" s="247"/>
      <c r="B441" s="166" t="s">
        <v>26</v>
      </c>
      <c r="C441" s="105">
        <v>0</v>
      </c>
      <c r="D441" s="105">
        <v>0</v>
      </c>
      <c r="E441" s="105">
        <v>0</v>
      </c>
      <c r="F441" s="105">
        <v>0</v>
      </c>
      <c r="G441" s="105">
        <v>0</v>
      </c>
      <c r="H441" s="105"/>
      <c r="I441" s="105"/>
      <c r="J441" s="105"/>
      <c r="K441" s="105"/>
      <c r="L441" s="105"/>
      <c r="M441" s="105"/>
      <c r="N441" s="105"/>
      <c r="O441" s="105">
        <f t="shared" si="93"/>
        <v>0</v>
      </c>
    </row>
    <row r="442" spans="1:15" ht="16.5" customHeight="1" x14ac:dyDescent="0.15">
      <c r="A442" s="247"/>
      <c r="B442" s="166" t="s">
        <v>66</v>
      </c>
      <c r="C442" s="106">
        <v>0</v>
      </c>
      <c r="D442" s="105">
        <v>0</v>
      </c>
      <c r="E442" s="105">
        <v>0</v>
      </c>
      <c r="F442" s="105">
        <v>21875</v>
      </c>
      <c r="G442" s="105">
        <v>3500</v>
      </c>
      <c r="H442" s="105"/>
      <c r="I442" s="106"/>
      <c r="J442" s="106"/>
      <c r="K442" s="106"/>
      <c r="L442" s="106"/>
      <c r="M442" s="106"/>
      <c r="N442" s="106"/>
      <c r="O442" s="105">
        <f t="shared" si="93"/>
        <v>25375</v>
      </c>
    </row>
    <row r="443" spans="1:15" ht="16.5" customHeight="1" x14ac:dyDescent="0.15">
      <c r="A443" s="247"/>
      <c r="B443" s="166" t="s">
        <v>22</v>
      </c>
      <c r="C443" s="105">
        <v>12072</v>
      </c>
      <c r="D443" s="105">
        <v>12072</v>
      </c>
      <c r="E443" s="105">
        <v>12072</v>
      </c>
      <c r="F443" s="105">
        <v>12072</v>
      </c>
      <c r="G443" s="105">
        <v>12072</v>
      </c>
      <c r="H443" s="105"/>
      <c r="I443" s="105"/>
      <c r="J443" s="105"/>
      <c r="K443" s="105"/>
      <c r="L443" s="105"/>
      <c r="M443" s="105"/>
      <c r="N443" s="105"/>
      <c r="O443" s="105">
        <f t="shared" si="93"/>
        <v>60360</v>
      </c>
    </row>
    <row r="444" spans="1:15" ht="16.5" customHeight="1" x14ac:dyDescent="0.15">
      <c r="A444" s="247"/>
      <c r="B444" s="166" t="s">
        <v>67</v>
      </c>
      <c r="C444" s="105">
        <v>1860</v>
      </c>
      <c r="D444" s="105">
        <v>1860</v>
      </c>
      <c r="E444" s="105">
        <v>1860</v>
      </c>
      <c r="F444" s="105">
        <v>1860</v>
      </c>
      <c r="G444" s="105">
        <v>1860</v>
      </c>
      <c r="H444" s="105"/>
      <c r="I444" s="105"/>
      <c r="J444" s="105"/>
      <c r="K444" s="105"/>
      <c r="L444" s="105"/>
      <c r="M444" s="105"/>
      <c r="N444" s="105"/>
      <c r="O444" s="105">
        <f t="shared" si="93"/>
        <v>9300</v>
      </c>
    </row>
    <row r="445" spans="1:15" ht="16.5" customHeight="1" x14ac:dyDescent="0.15">
      <c r="A445" s="247"/>
      <c r="B445" s="166" t="s">
        <v>23</v>
      </c>
      <c r="C445" s="105">
        <v>20119</v>
      </c>
      <c r="D445" s="105">
        <v>20119</v>
      </c>
      <c r="E445" s="105">
        <v>20119</v>
      </c>
      <c r="F445" s="105">
        <v>20119</v>
      </c>
      <c r="G445" s="105">
        <v>20119</v>
      </c>
      <c r="H445" s="105"/>
      <c r="I445" s="105"/>
      <c r="J445" s="105"/>
      <c r="K445" s="105"/>
      <c r="L445" s="105"/>
      <c r="M445" s="105"/>
      <c r="N445" s="105"/>
      <c r="O445" s="105">
        <f t="shared" si="93"/>
        <v>100595</v>
      </c>
    </row>
    <row r="446" spans="1:15" ht="16.5" customHeight="1" x14ac:dyDescent="0.15">
      <c r="A446" s="247"/>
      <c r="B446" s="166" t="s">
        <v>157</v>
      </c>
      <c r="C446" s="105">
        <v>1773</v>
      </c>
      <c r="D446" s="105">
        <v>1999</v>
      </c>
      <c r="E446" s="105">
        <v>2094</v>
      </c>
      <c r="F446" s="105">
        <v>2185</v>
      </c>
      <c r="G446" s="105">
        <v>1933</v>
      </c>
      <c r="H446" s="105"/>
      <c r="I446" s="105"/>
      <c r="J446" s="105"/>
      <c r="K446" s="105"/>
      <c r="L446" s="105"/>
      <c r="M446" s="105"/>
      <c r="N446" s="105"/>
      <c r="O446" s="105">
        <f t="shared" si="93"/>
        <v>9984</v>
      </c>
    </row>
    <row r="447" spans="1:15" ht="16.5" customHeight="1" x14ac:dyDescent="0.15">
      <c r="A447" s="247"/>
      <c r="B447" s="166" t="s">
        <v>158</v>
      </c>
      <c r="C447" s="105">
        <v>224000</v>
      </c>
      <c r="D447" s="105">
        <v>235200</v>
      </c>
      <c r="E447" s="105">
        <v>246400</v>
      </c>
      <c r="F447" s="105">
        <v>257075</v>
      </c>
      <c r="G447" s="105">
        <v>227500</v>
      </c>
      <c r="H447" s="105"/>
      <c r="I447" s="105"/>
      <c r="J447" s="105"/>
      <c r="K447" s="105"/>
      <c r="L447" s="105"/>
      <c r="M447" s="105"/>
      <c r="N447" s="105"/>
      <c r="O447" s="105">
        <f t="shared" si="93"/>
        <v>1190175</v>
      </c>
    </row>
    <row r="448" spans="1:15" ht="16.5" customHeight="1" x14ac:dyDescent="0.15">
      <c r="A448" s="247"/>
      <c r="B448" s="171"/>
      <c r="C448" s="107"/>
      <c r="D448" s="107">
        <v>1</v>
      </c>
      <c r="E448" s="107">
        <v>1</v>
      </c>
      <c r="F448" s="107">
        <v>1</v>
      </c>
      <c r="G448" s="107">
        <v>1</v>
      </c>
      <c r="H448" s="107"/>
      <c r="I448" s="107"/>
      <c r="J448" s="107"/>
      <c r="K448" s="107"/>
      <c r="L448" s="107"/>
      <c r="M448" s="107"/>
      <c r="N448" s="107"/>
      <c r="O448" s="107"/>
    </row>
    <row r="449" spans="1:15" ht="16.5" customHeight="1" thickBot="1" x14ac:dyDescent="0.2">
      <c r="A449" s="247"/>
      <c r="B449" s="171" t="s">
        <v>171</v>
      </c>
      <c r="C449" s="107">
        <v>0</v>
      </c>
      <c r="D449" s="107">
        <v>2</v>
      </c>
      <c r="E449" s="107">
        <v>0</v>
      </c>
      <c r="F449" s="107">
        <v>0</v>
      </c>
      <c r="G449" s="107">
        <v>1</v>
      </c>
      <c r="H449" s="107"/>
      <c r="I449" s="107"/>
      <c r="J449" s="107"/>
      <c r="K449" s="107"/>
      <c r="L449" s="107"/>
      <c r="M449" s="107"/>
      <c r="N449" s="107"/>
      <c r="O449" s="168">
        <f t="shared" si="93"/>
        <v>3</v>
      </c>
    </row>
    <row r="450" spans="1:15" ht="16.5" customHeight="1" thickTop="1" x14ac:dyDescent="0.15">
      <c r="A450" s="247"/>
      <c r="B450" s="169" t="s">
        <v>159</v>
      </c>
      <c r="C450" s="110">
        <f>IF(C438="","",C438-SUM(C439:C446))</f>
        <v>60176</v>
      </c>
      <c r="D450" s="110">
        <v>32750</v>
      </c>
      <c r="E450" s="110">
        <v>69455</v>
      </c>
      <c r="F450" s="110">
        <v>73939</v>
      </c>
      <c r="G450" s="110">
        <v>45516</v>
      </c>
      <c r="H450" s="110" t="str">
        <f t="shared" ref="H450:M450" si="94">IF(H438="","",H438-SUM(H439:H446))</f>
        <v/>
      </c>
      <c r="I450" s="110" t="str">
        <f t="shared" si="94"/>
        <v/>
      </c>
      <c r="J450" s="110" t="str">
        <f t="shared" si="94"/>
        <v/>
      </c>
      <c r="K450" s="110" t="str">
        <f t="shared" si="94"/>
        <v/>
      </c>
      <c r="L450" s="110" t="str">
        <f t="shared" si="94"/>
        <v/>
      </c>
      <c r="M450" s="110" t="str">
        <f t="shared" si="94"/>
        <v/>
      </c>
      <c r="N450" s="110" t="str">
        <f>IF(N438="","",N438-SUM(N439:N446))</f>
        <v/>
      </c>
      <c r="O450" s="110">
        <f>IF(O438="","",O438-SUM(O439:O446))</f>
        <v>281836</v>
      </c>
    </row>
    <row r="451" spans="1:15" ht="16.5" customHeight="1" thickBot="1" x14ac:dyDescent="0.2">
      <c r="A451" s="248"/>
      <c r="B451" s="170" t="s">
        <v>160</v>
      </c>
      <c r="C451" s="112">
        <f t="shared" ref="C451:O451" si="95">IF(C438="","",IF(C438=0,"―     ",C450/C438))</f>
        <v>0.18804999999999999</v>
      </c>
      <c r="D451" s="112">
        <v>0.10773026315789473</v>
      </c>
      <c r="E451" s="112">
        <v>0.19731534090909092</v>
      </c>
      <c r="F451" s="112">
        <v>0.20133151803948265</v>
      </c>
      <c r="G451" s="112">
        <v>0.14730097087378641</v>
      </c>
      <c r="H451" s="112" t="str">
        <f t="shared" si="95"/>
        <v/>
      </c>
      <c r="I451" s="112" t="str">
        <f t="shared" si="95"/>
        <v/>
      </c>
      <c r="J451" s="112" t="str">
        <f t="shared" si="95"/>
        <v/>
      </c>
      <c r="K451" s="112" t="str">
        <f t="shared" si="95"/>
        <v/>
      </c>
      <c r="L451" s="112" t="str">
        <f t="shared" si="95"/>
        <v/>
      </c>
      <c r="M451" s="112" t="str">
        <f t="shared" si="95"/>
        <v/>
      </c>
      <c r="N451" s="112" t="str">
        <f t="shared" si="95"/>
        <v/>
      </c>
      <c r="O451" s="112">
        <f t="shared" si="95"/>
        <v>0.17057709184445452</v>
      </c>
    </row>
    <row r="452" spans="1:15" ht="16.5" customHeight="1" x14ac:dyDescent="0.15">
      <c r="A452" s="251"/>
      <c r="B452" s="164" t="s">
        <v>21</v>
      </c>
      <c r="C452" s="102">
        <v>863212</v>
      </c>
      <c r="D452" s="102">
        <v>945705</v>
      </c>
      <c r="E452" s="102">
        <v>707725</v>
      </c>
      <c r="F452" s="102">
        <v>715631</v>
      </c>
      <c r="G452" s="102">
        <v>700650</v>
      </c>
      <c r="H452" s="102"/>
      <c r="I452" s="102"/>
      <c r="J452" s="102"/>
      <c r="K452" s="102"/>
      <c r="L452" s="102"/>
      <c r="M452" s="102"/>
      <c r="N452" s="102"/>
      <c r="O452" s="103">
        <f>SUM(C452:N452)</f>
        <v>3932923</v>
      </c>
    </row>
    <row r="453" spans="1:15" ht="16.5" customHeight="1" x14ac:dyDescent="0.15">
      <c r="A453" s="247"/>
      <c r="B453" s="166" t="s">
        <v>155</v>
      </c>
      <c r="C453" s="105">
        <v>532238</v>
      </c>
      <c r="D453" s="105">
        <v>578788</v>
      </c>
      <c r="E453" s="105">
        <v>431300</v>
      </c>
      <c r="F453" s="105">
        <v>445313</v>
      </c>
      <c r="G453" s="105">
        <v>432725</v>
      </c>
      <c r="H453" s="105"/>
      <c r="I453" s="105"/>
      <c r="J453" s="105"/>
      <c r="K453" s="105"/>
      <c r="L453" s="105"/>
      <c r="M453" s="105"/>
      <c r="N453" s="105"/>
      <c r="O453" s="105">
        <f t="shared" ref="O453:O463" si="96">SUM(C453:N453)</f>
        <v>2420364</v>
      </c>
    </row>
    <row r="454" spans="1:15" ht="16.5" customHeight="1" x14ac:dyDescent="0.15">
      <c r="A454" s="247"/>
      <c r="B454" s="166" t="s">
        <v>156</v>
      </c>
      <c r="C454" s="105">
        <v>20400</v>
      </c>
      <c r="D454" s="105">
        <v>25400</v>
      </c>
      <c r="E454" s="105">
        <v>15600</v>
      </c>
      <c r="F454" s="105">
        <v>15000</v>
      </c>
      <c r="G454" s="105">
        <v>16200</v>
      </c>
      <c r="H454" s="105"/>
      <c r="I454" s="105"/>
      <c r="J454" s="105"/>
      <c r="K454" s="105"/>
      <c r="L454" s="105"/>
      <c r="M454" s="105"/>
      <c r="N454" s="105"/>
      <c r="O454" s="105">
        <f t="shared" si="96"/>
        <v>92600</v>
      </c>
    </row>
    <row r="455" spans="1:15" ht="16.5" customHeight="1" x14ac:dyDescent="0.15">
      <c r="A455" s="247"/>
      <c r="B455" s="166" t="s">
        <v>26</v>
      </c>
      <c r="C455" s="105">
        <v>14240</v>
      </c>
      <c r="D455" s="105">
        <v>15280</v>
      </c>
      <c r="E455" s="105">
        <v>13420</v>
      </c>
      <c r="F455" s="105">
        <v>13560</v>
      </c>
      <c r="G455" s="105">
        <v>13280</v>
      </c>
      <c r="H455" s="105"/>
      <c r="I455" s="105"/>
      <c r="J455" s="105"/>
      <c r="K455" s="105"/>
      <c r="L455" s="105"/>
      <c r="M455" s="105"/>
      <c r="N455" s="105"/>
      <c r="O455" s="105">
        <f t="shared" si="96"/>
        <v>69780</v>
      </c>
    </row>
    <row r="456" spans="1:15" ht="16.5" customHeight="1" x14ac:dyDescent="0.15">
      <c r="A456" s="247"/>
      <c r="B456" s="166" t="s">
        <v>66</v>
      </c>
      <c r="C456" s="106">
        <v>891</v>
      </c>
      <c r="D456" s="105">
        <v>1782</v>
      </c>
      <c r="E456" s="105">
        <v>1188</v>
      </c>
      <c r="F456" s="105">
        <v>0</v>
      </c>
      <c r="G456" s="105">
        <v>1782</v>
      </c>
      <c r="H456" s="105"/>
      <c r="I456" s="106"/>
      <c r="J456" s="106"/>
      <c r="K456" s="106"/>
      <c r="L456" s="106"/>
      <c r="M456" s="106"/>
      <c r="N456" s="106"/>
      <c r="O456" s="105">
        <f t="shared" si="96"/>
        <v>5643</v>
      </c>
    </row>
    <row r="457" spans="1:15" ht="16.5" customHeight="1" x14ac:dyDescent="0.15">
      <c r="A457" s="247"/>
      <c r="B457" s="166" t="s">
        <v>22</v>
      </c>
      <c r="C457" s="105">
        <v>30180</v>
      </c>
      <c r="D457" s="105">
        <v>30180</v>
      </c>
      <c r="E457" s="105">
        <v>22635</v>
      </c>
      <c r="F457" s="105">
        <v>22635</v>
      </c>
      <c r="G457" s="105">
        <v>22635</v>
      </c>
      <c r="H457" s="105"/>
      <c r="I457" s="105"/>
      <c r="J457" s="105"/>
      <c r="K457" s="105"/>
      <c r="L457" s="105"/>
      <c r="M457" s="105"/>
      <c r="N457" s="105"/>
      <c r="O457" s="105">
        <f t="shared" si="96"/>
        <v>128265</v>
      </c>
    </row>
    <row r="458" spans="1:15" ht="16.5" customHeight="1" x14ac:dyDescent="0.15">
      <c r="A458" s="247"/>
      <c r="B458" s="166" t="s">
        <v>67</v>
      </c>
      <c r="C458" s="105">
        <v>2324</v>
      </c>
      <c r="D458" s="105">
        <v>2324</v>
      </c>
      <c r="E458" s="105">
        <v>2324</v>
      </c>
      <c r="F458" s="105">
        <v>2324</v>
      </c>
      <c r="G458" s="105">
        <v>2324</v>
      </c>
      <c r="H458" s="105"/>
      <c r="I458" s="105"/>
      <c r="J458" s="105"/>
      <c r="K458" s="105"/>
      <c r="L458" s="105"/>
      <c r="M458" s="105"/>
      <c r="N458" s="105"/>
      <c r="O458" s="105">
        <f t="shared" si="96"/>
        <v>11620</v>
      </c>
    </row>
    <row r="459" spans="1:15" ht="16.5" customHeight="1" x14ac:dyDescent="0.15">
      <c r="A459" s="247"/>
      <c r="B459" s="166" t="s">
        <v>23</v>
      </c>
      <c r="C459" s="105">
        <v>50296</v>
      </c>
      <c r="D459" s="105">
        <v>50296</v>
      </c>
      <c r="E459" s="105">
        <v>37722</v>
      </c>
      <c r="F459" s="105">
        <v>37722</v>
      </c>
      <c r="G459" s="105">
        <v>37722</v>
      </c>
      <c r="H459" s="105"/>
      <c r="I459" s="105"/>
      <c r="J459" s="105"/>
      <c r="K459" s="105"/>
      <c r="L459" s="105"/>
      <c r="M459" s="105"/>
      <c r="N459" s="105"/>
      <c r="O459" s="105">
        <f t="shared" si="96"/>
        <v>213758</v>
      </c>
    </row>
    <row r="460" spans="1:15" ht="16.5" customHeight="1" x14ac:dyDescent="0.15">
      <c r="A460" s="247"/>
      <c r="B460" s="166" t="s">
        <v>157</v>
      </c>
      <c r="C460" s="105">
        <v>4496</v>
      </c>
      <c r="D460" s="105">
        <v>5279</v>
      </c>
      <c r="E460" s="105">
        <v>3922</v>
      </c>
      <c r="F460" s="105">
        <v>4027</v>
      </c>
      <c r="G460" s="105">
        <v>3944</v>
      </c>
      <c r="H460" s="105"/>
      <c r="I460" s="105"/>
      <c r="J460" s="105"/>
      <c r="K460" s="105"/>
      <c r="L460" s="105"/>
      <c r="M460" s="105"/>
      <c r="N460" s="105"/>
      <c r="O460" s="105">
        <f t="shared" si="96"/>
        <v>21668</v>
      </c>
    </row>
    <row r="461" spans="1:15" ht="16.5" customHeight="1" x14ac:dyDescent="0.15">
      <c r="A461" s="247"/>
      <c r="B461" s="166" t="s">
        <v>158</v>
      </c>
      <c r="C461" s="105">
        <v>567769</v>
      </c>
      <c r="D461" s="105">
        <v>621250</v>
      </c>
      <c r="E461" s="105">
        <v>461508</v>
      </c>
      <c r="F461" s="105">
        <v>473873</v>
      </c>
      <c r="G461" s="105">
        <v>463987</v>
      </c>
      <c r="H461" s="105"/>
      <c r="I461" s="105"/>
      <c r="J461" s="105"/>
      <c r="K461" s="105"/>
      <c r="L461" s="105"/>
      <c r="M461" s="105"/>
      <c r="N461" s="105"/>
      <c r="O461" s="105">
        <f t="shared" si="96"/>
        <v>2588387</v>
      </c>
    </row>
    <row r="462" spans="1:15" ht="16.5" customHeight="1" x14ac:dyDescent="0.15">
      <c r="A462" s="247"/>
      <c r="B462" s="171"/>
      <c r="C462" s="107"/>
      <c r="D462" s="107">
        <v>4</v>
      </c>
      <c r="E462" s="107">
        <v>3</v>
      </c>
      <c r="F462" s="107">
        <v>3</v>
      </c>
      <c r="G462" s="107">
        <v>3</v>
      </c>
      <c r="H462" s="107"/>
      <c r="I462" s="107"/>
      <c r="J462" s="107"/>
      <c r="K462" s="107"/>
      <c r="L462" s="107"/>
      <c r="M462" s="107"/>
      <c r="N462" s="107"/>
      <c r="O462" s="107"/>
    </row>
    <row r="463" spans="1:15" ht="16.5" customHeight="1" thickBot="1" x14ac:dyDescent="0.2">
      <c r="A463" s="247"/>
      <c r="B463" s="171" t="s">
        <v>171</v>
      </c>
      <c r="C463" s="107">
        <v>1</v>
      </c>
      <c r="D463" s="107">
        <v>1</v>
      </c>
      <c r="E463" s="107">
        <v>0</v>
      </c>
      <c r="F463" s="107">
        <v>1</v>
      </c>
      <c r="G463" s="107">
        <v>1</v>
      </c>
      <c r="H463" s="107"/>
      <c r="I463" s="107"/>
      <c r="J463" s="107"/>
      <c r="K463" s="107"/>
      <c r="L463" s="107"/>
      <c r="M463" s="107"/>
      <c r="N463" s="107"/>
      <c r="O463" s="168">
        <f t="shared" si="96"/>
        <v>4</v>
      </c>
    </row>
    <row r="464" spans="1:15" ht="16.5" customHeight="1" thickTop="1" x14ac:dyDescent="0.15">
      <c r="A464" s="247"/>
      <c r="B464" s="169" t="s">
        <v>159</v>
      </c>
      <c r="C464" s="110">
        <f>IF(C452="","",C452-SUM(C453:C460))</f>
        <v>208147</v>
      </c>
      <c r="D464" s="110">
        <v>236376</v>
      </c>
      <c r="E464" s="110">
        <v>179614</v>
      </c>
      <c r="F464" s="110">
        <v>175050</v>
      </c>
      <c r="G464" s="110">
        <v>170038</v>
      </c>
      <c r="H464" s="110" t="str">
        <f t="shared" ref="H464:M464" si="97">IF(H452="","",H452-SUM(H453:H460))</f>
        <v/>
      </c>
      <c r="I464" s="110" t="str">
        <f t="shared" si="97"/>
        <v/>
      </c>
      <c r="J464" s="110" t="str">
        <f t="shared" si="97"/>
        <v/>
      </c>
      <c r="K464" s="110" t="str">
        <f t="shared" si="97"/>
        <v/>
      </c>
      <c r="L464" s="110" t="str">
        <f t="shared" si="97"/>
        <v/>
      </c>
      <c r="M464" s="110" t="str">
        <f t="shared" si="97"/>
        <v/>
      </c>
      <c r="N464" s="110" t="str">
        <f>IF(N452="","",N452-SUM(N453:N460))</f>
        <v/>
      </c>
      <c r="O464" s="110">
        <f>IF(O452="","",O452-SUM(O453:O460))</f>
        <v>969225</v>
      </c>
    </row>
    <row r="465" spans="1:15" ht="16.5" customHeight="1" thickBot="1" x14ac:dyDescent="0.2">
      <c r="A465" s="248"/>
      <c r="B465" s="170" t="s">
        <v>160</v>
      </c>
      <c r="C465" s="112">
        <f t="shared" ref="C465:O465" si="98">IF(C452="","",IF(C452=0,"―     ",C464/C452))</f>
        <v>0.24113079984986308</v>
      </c>
      <c r="D465" s="112">
        <v>0.24994686503719449</v>
      </c>
      <c r="E465" s="112">
        <v>0.25379066727895722</v>
      </c>
      <c r="F465" s="112">
        <v>0.24460930283903295</v>
      </c>
      <c r="G465" s="112">
        <v>0.24268607721401556</v>
      </c>
      <c r="H465" s="112" t="str">
        <f t="shared" si="98"/>
        <v/>
      </c>
      <c r="I465" s="112" t="str">
        <f t="shared" si="98"/>
        <v/>
      </c>
      <c r="J465" s="112" t="str">
        <f t="shared" si="98"/>
        <v/>
      </c>
      <c r="K465" s="112" t="str">
        <f t="shared" si="98"/>
        <v/>
      </c>
      <c r="L465" s="112" t="str">
        <f t="shared" si="98"/>
        <v/>
      </c>
      <c r="M465" s="112" t="str">
        <f t="shared" si="98"/>
        <v/>
      </c>
      <c r="N465" s="112" t="str">
        <f t="shared" si="98"/>
        <v/>
      </c>
      <c r="O465" s="112">
        <f t="shared" si="98"/>
        <v>0.24643884459472001</v>
      </c>
    </row>
    <row r="466" spans="1:15" ht="16.5" customHeight="1" x14ac:dyDescent="0.15">
      <c r="A466" s="251"/>
      <c r="B466" s="164" t="s">
        <v>21</v>
      </c>
      <c r="C466" s="102">
        <v>1886078</v>
      </c>
      <c r="D466" s="102">
        <v>1954053</v>
      </c>
      <c r="E466" s="102">
        <v>1833882</v>
      </c>
      <c r="F466" s="102">
        <v>1560743</v>
      </c>
      <c r="G466" s="102">
        <v>1326931</v>
      </c>
      <c r="H466" s="102"/>
      <c r="I466" s="102"/>
      <c r="J466" s="102"/>
      <c r="K466" s="102"/>
      <c r="L466" s="102"/>
      <c r="M466" s="102"/>
      <c r="N466" s="102"/>
      <c r="O466" s="103">
        <f>SUM(C466:N466)</f>
        <v>8561687</v>
      </c>
    </row>
    <row r="467" spans="1:15" ht="16.5" customHeight="1" x14ac:dyDescent="0.15">
      <c r="A467" s="247"/>
      <c r="B467" s="166" t="s">
        <v>155</v>
      </c>
      <c r="C467" s="105">
        <v>1171350</v>
      </c>
      <c r="D467" s="105">
        <v>1206675</v>
      </c>
      <c r="E467" s="105">
        <v>1165078</v>
      </c>
      <c r="F467" s="105">
        <v>978250</v>
      </c>
      <c r="G467" s="105">
        <v>840178</v>
      </c>
      <c r="H467" s="105"/>
      <c r="I467" s="105"/>
      <c r="J467" s="105"/>
      <c r="K467" s="105"/>
      <c r="L467" s="105"/>
      <c r="M467" s="105"/>
      <c r="N467" s="105"/>
      <c r="O467" s="105">
        <f t="shared" ref="O467:O477" si="99">SUM(C467:N467)</f>
        <v>5361531</v>
      </c>
    </row>
    <row r="468" spans="1:15" ht="16.5" customHeight="1" x14ac:dyDescent="0.15">
      <c r="A468" s="247"/>
      <c r="B468" s="166" t="s">
        <v>156</v>
      </c>
      <c r="C468" s="105">
        <v>0</v>
      </c>
      <c r="D468" s="105">
        <v>0</v>
      </c>
      <c r="E468" s="105">
        <v>0</v>
      </c>
      <c r="F468" s="105">
        <v>0</v>
      </c>
      <c r="G468" s="105">
        <v>0</v>
      </c>
      <c r="H468" s="105"/>
      <c r="I468" s="105"/>
      <c r="J468" s="105"/>
      <c r="K468" s="105"/>
      <c r="L468" s="105"/>
      <c r="M468" s="105"/>
      <c r="N468" s="105"/>
      <c r="O468" s="105">
        <f t="shared" si="99"/>
        <v>0</v>
      </c>
    </row>
    <row r="469" spans="1:15" ht="16.5" customHeight="1" x14ac:dyDescent="0.15">
      <c r="A469" s="247"/>
      <c r="B469" s="166" t="s">
        <v>26</v>
      </c>
      <c r="C469" s="105">
        <v>40500</v>
      </c>
      <c r="D469" s="105">
        <v>43110</v>
      </c>
      <c r="E469" s="105">
        <v>42680</v>
      </c>
      <c r="F469" s="105">
        <v>35040</v>
      </c>
      <c r="G469" s="105">
        <v>24040</v>
      </c>
      <c r="H469" s="105"/>
      <c r="I469" s="105"/>
      <c r="J469" s="105"/>
      <c r="K469" s="105"/>
      <c r="L469" s="105"/>
      <c r="M469" s="105"/>
      <c r="N469" s="105"/>
      <c r="O469" s="105">
        <f t="shared" si="99"/>
        <v>185370</v>
      </c>
    </row>
    <row r="470" spans="1:15" ht="16.5" customHeight="1" x14ac:dyDescent="0.15">
      <c r="A470" s="247"/>
      <c r="B470" s="166" t="s">
        <v>66</v>
      </c>
      <c r="C470" s="106">
        <v>20251</v>
      </c>
      <c r="D470" s="105">
        <v>6188</v>
      </c>
      <c r="E470" s="105">
        <v>11302</v>
      </c>
      <c r="F470" s="105">
        <v>563</v>
      </c>
      <c r="G470" s="105">
        <v>563</v>
      </c>
      <c r="H470" s="105"/>
      <c r="I470" s="106"/>
      <c r="J470" s="106"/>
      <c r="K470" s="106"/>
      <c r="L470" s="106"/>
      <c r="M470" s="106"/>
      <c r="N470" s="106"/>
      <c r="O470" s="105">
        <f t="shared" si="99"/>
        <v>38867</v>
      </c>
    </row>
    <row r="471" spans="1:15" ht="16.5" customHeight="1" x14ac:dyDescent="0.15">
      <c r="A471" s="247"/>
      <c r="B471" s="166" t="s">
        <v>22</v>
      </c>
      <c r="C471" s="105">
        <v>74244</v>
      </c>
      <c r="D471" s="105">
        <v>66699</v>
      </c>
      <c r="E471" s="105">
        <v>59154</v>
      </c>
      <c r="F471" s="105">
        <v>51609</v>
      </c>
      <c r="G471" s="105">
        <v>44064</v>
      </c>
      <c r="H471" s="105"/>
      <c r="I471" s="105"/>
      <c r="J471" s="105"/>
      <c r="K471" s="105"/>
      <c r="L471" s="105"/>
      <c r="M471" s="105"/>
      <c r="N471" s="105"/>
      <c r="O471" s="105">
        <f t="shared" si="99"/>
        <v>295770</v>
      </c>
    </row>
    <row r="472" spans="1:15" ht="16.5" customHeight="1" x14ac:dyDescent="0.15">
      <c r="A472" s="247"/>
      <c r="B472" s="166" t="s">
        <v>67</v>
      </c>
      <c r="C472" s="105">
        <v>9110</v>
      </c>
      <c r="D472" s="105">
        <v>7948</v>
      </c>
      <c r="E472" s="105">
        <v>7948</v>
      </c>
      <c r="F472" s="105">
        <v>7948</v>
      </c>
      <c r="G472" s="105">
        <v>6786</v>
      </c>
      <c r="H472" s="105"/>
      <c r="I472" s="105"/>
      <c r="J472" s="105"/>
      <c r="K472" s="105"/>
      <c r="L472" s="105"/>
      <c r="M472" s="105"/>
      <c r="N472" s="105"/>
      <c r="O472" s="105">
        <f t="shared" si="99"/>
        <v>39740</v>
      </c>
    </row>
    <row r="473" spans="1:15" ht="16.5" customHeight="1" x14ac:dyDescent="0.15">
      <c r="A473" s="247"/>
      <c r="B473" s="166" t="s">
        <v>23</v>
      </c>
      <c r="C473" s="105">
        <v>123730</v>
      </c>
      <c r="D473" s="105">
        <v>111156</v>
      </c>
      <c r="E473" s="105">
        <v>98582</v>
      </c>
      <c r="F473" s="105">
        <v>86008</v>
      </c>
      <c r="G473" s="105">
        <v>73434</v>
      </c>
      <c r="H473" s="105"/>
      <c r="I473" s="105"/>
      <c r="J473" s="105"/>
      <c r="K473" s="105"/>
      <c r="L473" s="105"/>
      <c r="M473" s="105"/>
      <c r="N473" s="105"/>
      <c r="O473" s="105">
        <f t="shared" si="99"/>
        <v>492910</v>
      </c>
    </row>
    <row r="474" spans="1:15" ht="16.5" customHeight="1" x14ac:dyDescent="0.15">
      <c r="A474" s="247"/>
      <c r="B474" s="166" t="s">
        <v>157</v>
      </c>
      <c r="C474" s="105">
        <v>9758</v>
      </c>
      <c r="D474" s="105">
        <v>10673</v>
      </c>
      <c r="E474" s="105">
        <v>10360</v>
      </c>
      <c r="F474" s="105">
        <v>8618</v>
      </c>
      <c r="G474" s="105">
        <v>7350</v>
      </c>
      <c r="H474" s="105"/>
      <c r="I474" s="105"/>
      <c r="J474" s="105"/>
      <c r="K474" s="105"/>
      <c r="L474" s="105"/>
      <c r="M474" s="105"/>
      <c r="N474" s="105"/>
      <c r="O474" s="105">
        <f t="shared" si="99"/>
        <v>46759</v>
      </c>
    </row>
    <row r="475" spans="1:15" ht="16.5" customHeight="1" x14ac:dyDescent="0.15">
      <c r="A475" s="247"/>
      <c r="B475" s="166" t="s">
        <v>158</v>
      </c>
      <c r="C475" s="105">
        <v>1232101</v>
      </c>
      <c r="D475" s="105">
        <v>1255973</v>
      </c>
      <c r="E475" s="105">
        <v>1219060</v>
      </c>
      <c r="F475" s="105">
        <v>1013853</v>
      </c>
      <c r="G475" s="105">
        <v>864781</v>
      </c>
      <c r="H475" s="105"/>
      <c r="I475" s="105"/>
      <c r="J475" s="105"/>
      <c r="K475" s="105"/>
      <c r="L475" s="105"/>
      <c r="M475" s="105"/>
      <c r="N475" s="105"/>
      <c r="O475" s="105">
        <f t="shared" si="99"/>
        <v>5585768</v>
      </c>
    </row>
    <row r="476" spans="1:15" ht="16.5" customHeight="1" x14ac:dyDescent="0.15">
      <c r="A476" s="247"/>
      <c r="B476" s="171"/>
      <c r="C476" s="107"/>
      <c r="D476" s="107">
        <v>10</v>
      </c>
      <c r="E476" s="107">
        <v>8</v>
      </c>
      <c r="F476" s="107">
        <v>7</v>
      </c>
      <c r="G476" s="107">
        <v>6</v>
      </c>
      <c r="H476" s="107"/>
      <c r="I476" s="107"/>
      <c r="J476" s="107"/>
      <c r="K476" s="107"/>
      <c r="L476" s="107"/>
      <c r="M476" s="107"/>
      <c r="N476" s="107"/>
      <c r="O476" s="107"/>
    </row>
    <row r="477" spans="1:15" ht="16.5" customHeight="1" thickBot="1" x14ac:dyDescent="0.2">
      <c r="A477" s="247"/>
      <c r="B477" s="171" t="s">
        <v>171</v>
      </c>
      <c r="C477" s="107">
        <v>3</v>
      </c>
      <c r="D477" s="107">
        <v>0</v>
      </c>
      <c r="E477" s="107">
        <v>5</v>
      </c>
      <c r="F477" s="107">
        <v>1</v>
      </c>
      <c r="G477" s="107">
        <v>2</v>
      </c>
      <c r="H477" s="107"/>
      <c r="I477" s="107"/>
      <c r="J477" s="107"/>
      <c r="K477" s="107"/>
      <c r="L477" s="107"/>
      <c r="M477" s="107"/>
      <c r="N477" s="107"/>
      <c r="O477" s="168">
        <f t="shared" si="99"/>
        <v>11</v>
      </c>
    </row>
    <row r="478" spans="1:15" ht="16.5" customHeight="1" thickTop="1" x14ac:dyDescent="0.15">
      <c r="A478" s="247"/>
      <c r="B478" s="169" t="s">
        <v>159</v>
      </c>
      <c r="C478" s="110">
        <f>IF(C466="","",C466-SUM(C467:C474))</f>
        <v>437135</v>
      </c>
      <c r="D478" s="110">
        <v>501604</v>
      </c>
      <c r="E478" s="110">
        <v>438778</v>
      </c>
      <c r="F478" s="110">
        <v>392707</v>
      </c>
      <c r="G478" s="110">
        <v>330516</v>
      </c>
      <c r="H478" s="110" t="str">
        <f t="shared" ref="H478:M478" si="100">IF(H466="","",H466-SUM(H467:H474))</f>
        <v/>
      </c>
      <c r="I478" s="110" t="str">
        <f t="shared" si="100"/>
        <v/>
      </c>
      <c r="J478" s="110" t="str">
        <f t="shared" si="100"/>
        <v/>
      </c>
      <c r="K478" s="110" t="str">
        <f t="shared" si="100"/>
        <v/>
      </c>
      <c r="L478" s="110" t="str">
        <f t="shared" si="100"/>
        <v/>
      </c>
      <c r="M478" s="110" t="str">
        <f t="shared" si="100"/>
        <v/>
      </c>
      <c r="N478" s="110" t="str">
        <f>IF(N466="","",N466-SUM(N467:N474))</f>
        <v/>
      </c>
      <c r="O478" s="110">
        <f>IF(O466="","",O466-SUM(O467:O474))</f>
        <v>2100740</v>
      </c>
    </row>
    <row r="479" spans="1:15" ht="16.5" customHeight="1" thickBot="1" x14ac:dyDescent="0.2">
      <c r="A479" s="248"/>
      <c r="B479" s="170" t="s">
        <v>160</v>
      </c>
      <c r="C479" s="112">
        <f t="shared" ref="C479:O479" si="101">IF(C466="","",IF(C466=0,"―     ",C478/C466))</f>
        <v>0.23176931176759391</v>
      </c>
      <c r="D479" s="112">
        <v>0.25669928093045585</v>
      </c>
      <c r="E479" s="112">
        <v>0.23926184999907302</v>
      </c>
      <c r="F479" s="112">
        <v>0.2516154165035499</v>
      </c>
      <c r="G479" s="112">
        <v>0.24908303446072178</v>
      </c>
      <c r="H479" s="112" t="str">
        <f t="shared" si="101"/>
        <v/>
      </c>
      <c r="I479" s="112" t="str">
        <f t="shared" si="101"/>
        <v/>
      </c>
      <c r="J479" s="112" t="str">
        <f t="shared" si="101"/>
        <v/>
      </c>
      <c r="K479" s="112" t="str">
        <f t="shared" si="101"/>
        <v/>
      </c>
      <c r="L479" s="112" t="str">
        <f t="shared" si="101"/>
        <v/>
      </c>
      <c r="M479" s="112" t="str">
        <f t="shared" si="101"/>
        <v/>
      </c>
      <c r="N479" s="112" t="str">
        <f t="shared" si="101"/>
        <v/>
      </c>
      <c r="O479" s="112">
        <f t="shared" si="101"/>
        <v>0.24536519496683307</v>
      </c>
    </row>
    <row r="480" spans="1:15" ht="16.5" customHeight="1" x14ac:dyDescent="0.15">
      <c r="A480" s="251"/>
      <c r="B480" s="164" t="s">
        <v>21</v>
      </c>
      <c r="C480" s="102">
        <v>267300</v>
      </c>
      <c r="D480" s="102">
        <v>303975</v>
      </c>
      <c r="E480" s="102"/>
      <c r="F480" s="102">
        <v>291600</v>
      </c>
      <c r="G480" s="102">
        <v>319500</v>
      </c>
      <c r="H480" s="102"/>
      <c r="I480" s="102"/>
      <c r="J480" s="102"/>
      <c r="K480" s="102"/>
      <c r="L480" s="102"/>
      <c r="M480" s="102"/>
      <c r="N480" s="102"/>
      <c r="O480" s="103">
        <f>SUM(C480:N480)</f>
        <v>1182375</v>
      </c>
    </row>
    <row r="481" spans="1:15" ht="16.5" customHeight="1" x14ac:dyDescent="0.15">
      <c r="A481" s="247"/>
      <c r="B481" s="166" t="s">
        <v>155</v>
      </c>
      <c r="C481" s="105">
        <v>196950</v>
      </c>
      <c r="D481" s="105">
        <v>208000</v>
      </c>
      <c r="E481" s="105"/>
      <c r="F481" s="105">
        <v>182400</v>
      </c>
      <c r="G481" s="105">
        <v>208000</v>
      </c>
      <c r="H481" s="105"/>
      <c r="I481" s="105"/>
      <c r="J481" s="105"/>
      <c r="K481" s="105"/>
      <c r="L481" s="105"/>
      <c r="M481" s="105"/>
      <c r="N481" s="105"/>
      <c r="O481" s="105">
        <f t="shared" ref="O481:O491" si="102">SUM(C481:N481)</f>
        <v>795350</v>
      </c>
    </row>
    <row r="482" spans="1:15" ht="16.5" customHeight="1" x14ac:dyDescent="0.15">
      <c r="A482" s="247"/>
      <c r="B482" s="166" t="s">
        <v>156</v>
      </c>
      <c r="C482" s="105">
        <v>0</v>
      </c>
      <c r="D482" s="105">
        <v>0</v>
      </c>
      <c r="E482" s="105"/>
      <c r="F482" s="105">
        <v>0</v>
      </c>
      <c r="G482" s="105">
        <v>0</v>
      </c>
      <c r="H482" s="105"/>
      <c r="I482" s="105"/>
      <c r="J482" s="105"/>
      <c r="K482" s="105"/>
      <c r="L482" s="105"/>
      <c r="M482" s="105"/>
      <c r="N482" s="105"/>
      <c r="O482" s="105">
        <f t="shared" si="102"/>
        <v>0</v>
      </c>
    </row>
    <row r="483" spans="1:15" ht="16.5" customHeight="1" x14ac:dyDescent="0.15">
      <c r="A483" s="247"/>
      <c r="B483" s="166" t="s">
        <v>26</v>
      </c>
      <c r="C483" s="105">
        <v>0</v>
      </c>
      <c r="D483" s="105">
        <v>0</v>
      </c>
      <c r="E483" s="105"/>
      <c r="F483" s="105">
        <v>0</v>
      </c>
      <c r="G483" s="105">
        <v>0</v>
      </c>
      <c r="H483" s="105"/>
      <c r="I483" s="105"/>
      <c r="J483" s="105"/>
      <c r="K483" s="105"/>
      <c r="L483" s="105"/>
      <c r="M483" s="105"/>
      <c r="N483" s="105"/>
      <c r="O483" s="105">
        <f t="shared" si="102"/>
        <v>0</v>
      </c>
    </row>
    <row r="484" spans="1:15" ht="16.5" customHeight="1" x14ac:dyDescent="0.15">
      <c r="A484" s="247"/>
      <c r="B484" s="166" t="s">
        <v>66</v>
      </c>
      <c r="C484" s="106">
        <v>6500</v>
      </c>
      <c r="D484" s="105">
        <v>21938</v>
      </c>
      <c r="E484" s="105"/>
      <c r="F484" s="105">
        <v>12000</v>
      </c>
      <c r="G484" s="105">
        <v>22750</v>
      </c>
      <c r="H484" s="105"/>
      <c r="I484" s="106"/>
      <c r="J484" s="106"/>
      <c r="K484" s="106"/>
      <c r="L484" s="106"/>
      <c r="M484" s="106"/>
      <c r="N484" s="106"/>
      <c r="O484" s="105">
        <f t="shared" si="102"/>
        <v>63188</v>
      </c>
    </row>
    <row r="485" spans="1:15" ht="16.5" customHeight="1" x14ac:dyDescent="0.15">
      <c r="A485" s="247"/>
      <c r="B485" s="166" t="s">
        <v>22</v>
      </c>
      <c r="C485" s="105">
        <v>11066</v>
      </c>
      <c r="D485" s="105">
        <v>11066</v>
      </c>
      <c r="E485" s="105"/>
      <c r="F485" s="105">
        <v>11066</v>
      </c>
      <c r="G485" s="105">
        <v>11066</v>
      </c>
      <c r="H485" s="105"/>
      <c r="I485" s="105"/>
      <c r="J485" s="105"/>
      <c r="K485" s="105"/>
      <c r="L485" s="105"/>
      <c r="M485" s="105"/>
      <c r="N485" s="105"/>
      <c r="O485" s="105">
        <f t="shared" si="102"/>
        <v>44264</v>
      </c>
    </row>
    <row r="486" spans="1:15" ht="16.5" customHeight="1" x14ac:dyDescent="0.15">
      <c r="A486" s="247"/>
      <c r="B486" s="166" t="s">
        <v>67</v>
      </c>
      <c r="C486" s="105">
        <v>0</v>
      </c>
      <c r="D486" s="105">
        <v>0</v>
      </c>
      <c r="E486" s="105"/>
      <c r="F486" s="105">
        <v>1705</v>
      </c>
      <c r="G486" s="105">
        <v>1705</v>
      </c>
      <c r="H486" s="105"/>
      <c r="I486" s="105"/>
      <c r="J486" s="105"/>
      <c r="K486" s="105"/>
      <c r="L486" s="105"/>
      <c r="M486" s="105"/>
      <c r="N486" s="105"/>
      <c r="O486" s="105">
        <f t="shared" si="102"/>
        <v>3410</v>
      </c>
    </row>
    <row r="487" spans="1:15" ht="16.5" customHeight="1" x14ac:dyDescent="0.15">
      <c r="A487" s="247"/>
      <c r="B487" s="166" t="s">
        <v>23</v>
      </c>
      <c r="C487" s="105">
        <v>18443</v>
      </c>
      <c r="D487" s="105">
        <v>18443</v>
      </c>
      <c r="E487" s="105"/>
      <c r="F487" s="105">
        <v>18443</v>
      </c>
      <c r="G487" s="105">
        <v>18443</v>
      </c>
      <c r="H487" s="105"/>
      <c r="I487" s="105"/>
      <c r="J487" s="105"/>
      <c r="K487" s="105"/>
      <c r="L487" s="105"/>
      <c r="M487" s="105"/>
      <c r="N487" s="105"/>
      <c r="O487" s="105">
        <f t="shared" si="102"/>
        <v>73772</v>
      </c>
    </row>
    <row r="488" spans="1:15" ht="16.5" customHeight="1" x14ac:dyDescent="0.15">
      <c r="A488" s="247"/>
      <c r="B488" s="166" t="s">
        <v>157</v>
      </c>
      <c r="C488" s="105">
        <v>1610</v>
      </c>
      <c r="D488" s="105">
        <v>1955</v>
      </c>
      <c r="E488" s="105"/>
      <c r="F488" s="105">
        <v>1652</v>
      </c>
      <c r="G488" s="105">
        <v>1962</v>
      </c>
      <c r="H488" s="105"/>
      <c r="I488" s="105"/>
      <c r="J488" s="105"/>
      <c r="K488" s="105"/>
      <c r="L488" s="105"/>
      <c r="M488" s="105"/>
      <c r="N488" s="105"/>
      <c r="O488" s="105">
        <f t="shared" si="102"/>
        <v>7179</v>
      </c>
    </row>
    <row r="489" spans="1:15" ht="16.5" customHeight="1" x14ac:dyDescent="0.15">
      <c r="A489" s="247"/>
      <c r="B489" s="166" t="s">
        <v>158</v>
      </c>
      <c r="C489" s="105">
        <v>203450</v>
      </c>
      <c r="D489" s="105">
        <v>229938</v>
      </c>
      <c r="E489" s="105"/>
      <c r="F489" s="105">
        <v>194400</v>
      </c>
      <c r="G489" s="105">
        <v>230750</v>
      </c>
      <c r="H489" s="105"/>
      <c r="I489" s="105"/>
      <c r="J489" s="105"/>
      <c r="K489" s="105"/>
      <c r="L489" s="105"/>
      <c r="M489" s="105"/>
      <c r="N489" s="105"/>
      <c r="O489" s="105">
        <f t="shared" si="102"/>
        <v>858538</v>
      </c>
    </row>
    <row r="490" spans="1:15" ht="16.5" customHeight="1" x14ac:dyDescent="0.15">
      <c r="A490" s="247"/>
      <c r="B490" s="171"/>
      <c r="C490" s="107"/>
      <c r="D490" s="107">
        <v>1</v>
      </c>
      <c r="E490" s="107"/>
      <c r="F490" s="107">
        <v>1</v>
      </c>
      <c r="G490" s="107">
        <v>1</v>
      </c>
      <c r="H490" s="107"/>
      <c r="I490" s="107"/>
      <c r="J490" s="107"/>
      <c r="K490" s="107"/>
      <c r="L490" s="107"/>
      <c r="M490" s="107"/>
      <c r="N490" s="107"/>
      <c r="O490" s="107"/>
    </row>
    <row r="491" spans="1:15" ht="16.5" customHeight="1" thickBot="1" x14ac:dyDescent="0.2">
      <c r="A491" s="247"/>
      <c r="B491" s="171" t="s">
        <v>171</v>
      </c>
      <c r="C491" s="107">
        <v>1</v>
      </c>
      <c r="D491" s="107">
        <v>1</v>
      </c>
      <c r="E491" s="107"/>
      <c r="F491" s="107">
        <v>0</v>
      </c>
      <c r="G491" s="107">
        <v>0</v>
      </c>
      <c r="H491" s="107"/>
      <c r="I491" s="107"/>
      <c r="J491" s="107"/>
      <c r="K491" s="107"/>
      <c r="L491" s="107"/>
      <c r="M491" s="107"/>
      <c r="N491" s="107"/>
      <c r="O491" s="168">
        <f t="shared" si="102"/>
        <v>2</v>
      </c>
    </row>
    <row r="492" spans="1:15" ht="16.5" customHeight="1" thickTop="1" x14ac:dyDescent="0.15">
      <c r="A492" s="247"/>
      <c r="B492" s="169" t="s">
        <v>159</v>
      </c>
      <c r="C492" s="110">
        <f>IF(C480="","",C480-SUM(C481:C488))</f>
        <v>32731</v>
      </c>
      <c r="D492" s="110">
        <v>42573</v>
      </c>
      <c r="E492" s="110" t="s">
        <v>181</v>
      </c>
      <c r="F492" s="110">
        <v>64334</v>
      </c>
      <c r="G492" s="110">
        <v>55574</v>
      </c>
      <c r="H492" s="110" t="str">
        <f t="shared" ref="H492:M492" si="103">IF(H480="","",H480-SUM(H481:H488))</f>
        <v/>
      </c>
      <c r="I492" s="110" t="str">
        <f t="shared" si="103"/>
        <v/>
      </c>
      <c r="J492" s="110" t="str">
        <f t="shared" si="103"/>
        <v/>
      </c>
      <c r="K492" s="110" t="str">
        <f t="shared" si="103"/>
        <v/>
      </c>
      <c r="L492" s="110" t="str">
        <f t="shared" si="103"/>
        <v/>
      </c>
      <c r="M492" s="110" t="str">
        <f t="shared" si="103"/>
        <v/>
      </c>
      <c r="N492" s="110" t="str">
        <f>IF(N480="","",N480-SUM(N481:N488))</f>
        <v/>
      </c>
      <c r="O492" s="110">
        <f>IF(O480="","",O480-SUM(O481:O488))</f>
        <v>195212</v>
      </c>
    </row>
    <row r="493" spans="1:15" ht="16.5" customHeight="1" thickBot="1" x14ac:dyDescent="0.2">
      <c r="A493" s="248"/>
      <c r="B493" s="170" t="s">
        <v>160</v>
      </c>
      <c r="C493" s="112">
        <f t="shared" ref="C493:O493" si="104">IF(C480="","",IF(C480=0,"―     ",C492/C480))</f>
        <v>0.12245043022820801</v>
      </c>
      <c r="D493" s="112">
        <v>0.14005428077966939</v>
      </c>
      <c r="E493" s="112" t="s">
        <v>181</v>
      </c>
      <c r="F493" s="112">
        <v>0.22062414266117969</v>
      </c>
      <c r="G493" s="112">
        <v>0.17394053208137716</v>
      </c>
      <c r="H493" s="112" t="str">
        <f t="shared" si="104"/>
        <v/>
      </c>
      <c r="I493" s="112" t="str">
        <f t="shared" si="104"/>
        <v/>
      </c>
      <c r="J493" s="112" t="str">
        <f t="shared" si="104"/>
        <v/>
      </c>
      <c r="K493" s="112" t="str">
        <f t="shared" si="104"/>
        <v/>
      </c>
      <c r="L493" s="112" t="str">
        <f t="shared" si="104"/>
        <v/>
      </c>
      <c r="M493" s="112" t="str">
        <f t="shared" si="104"/>
        <v/>
      </c>
      <c r="N493" s="112" t="str">
        <f t="shared" si="104"/>
        <v/>
      </c>
      <c r="O493" s="112">
        <f t="shared" si="104"/>
        <v>0.16510159636325192</v>
      </c>
    </row>
    <row r="494" spans="1:15" ht="16.5" customHeight="1" x14ac:dyDescent="0.15">
      <c r="A494" s="251"/>
      <c r="B494" s="164" t="s">
        <v>21</v>
      </c>
      <c r="C494" s="102">
        <v>3871237</v>
      </c>
      <c r="D494" s="102">
        <v>4680899</v>
      </c>
      <c r="E494" s="102">
        <v>5282968</v>
      </c>
      <c r="F494" s="102">
        <v>5824400</v>
      </c>
      <c r="G494" s="102">
        <v>5983743</v>
      </c>
      <c r="H494" s="102"/>
      <c r="I494" s="102"/>
      <c r="J494" s="102"/>
      <c r="K494" s="102"/>
      <c r="L494" s="102"/>
      <c r="M494" s="102"/>
      <c r="N494" s="102"/>
      <c r="O494" s="103">
        <f>SUM(C494:N494)</f>
        <v>25643247</v>
      </c>
    </row>
    <row r="495" spans="1:15" ht="16.5" customHeight="1" x14ac:dyDescent="0.15">
      <c r="A495" s="247"/>
      <c r="B495" s="166" t="s">
        <v>155</v>
      </c>
      <c r="C495" s="105">
        <v>2236114</v>
      </c>
      <c r="D495" s="105">
        <v>2693839</v>
      </c>
      <c r="E495" s="105">
        <v>3063302</v>
      </c>
      <c r="F495" s="105">
        <v>3377738</v>
      </c>
      <c r="G495" s="105">
        <v>3498588</v>
      </c>
      <c r="H495" s="105"/>
      <c r="I495" s="105"/>
      <c r="J495" s="105"/>
      <c r="K495" s="105"/>
      <c r="L495" s="105"/>
      <c r="M495" s="105"/>
      <c r="N495" s="105"/>
      <c r="O495" s="105">
        <f t="shared" ref="O495:O505" si="105">SUM(C495:N495)</f>
        <v>14869581</v>
      </c>
    </row>
    <row r="496" spans="1:15" ht="16.5" customHeight="1" x14ac:dyDescent="0.15">
      <c r="A496" s="247"/>
      <c r="B496" s="166" t="s">
        <v>156</v>
      </c>
      <c r="C496" s="105">
        <v>0</v>
      </c>
      <c r="D496" s="105">
        <v>0</v>
      </c>
      <c r="E496" s="105">
        <v>6000</v>
      </c>
      <c r="F496" s="105">
        <v>6000</v>
      </c>
      <c r="G496" s="105">
        <v>6000</v>
      </c>
      <c r="H496" s="105"/>
      <c r="I496" s="105"/>
      <c r="J496" s="105"/>
      <c r="K496" s="105"/>
      <c r="L496" s="105"/>
      <c r="M496" s="105"/>
      <c r="N496" s="105"/>
      <c r="O496" s="105">
        <f t="shared" si="105"/>
        <v>18000</v>
      </c>
    </row>
    <row r="497" spans="1:15" ht="16.5" customHeight="1" x14ac:dyDescent="0.15">
      <c r="A497" s="247"/>
      <c r="B497" s="166" t="s">
        <v>26</v>
      </c>
      <c r="C497" s="105">
        <v>125940</v>
      </c>
      <c r="D497" s="105">
        <v>151780</v>
      </c>
      <c r="E497" s="105">
        <v>160690</v>
      </c>
      <c r="F497" s="105">
        <v>171350</v>
      </c>
      <c r="G497" s="105">
        <v>183820</v>
      </c>
      <c r="H497" s="105"/>
      <c r="I497" s="105"/>
      <c r="J497" s="105"/>
      <c r="K497" s="105"/>
      <c r="L497" s="105"/>
      <c r="M497" s="105"/>
      <c r="N497" s="105"/>
      <c r="O497" s="105">
        <f t="shared" si="105"/>
        <v>793580</v>
      </c>
    </row>
    <row r="498" spans="1:15" ht="16.5" customHeight="1" x14ac:dyDescent="0.15">
      <c r="A498" s="247"/>
      <c r="B498" s="166" t="s">
        <v>66</v>
      </c>
      <c r="C498" s="106">
        <v>60509</v>
      </c>
      <c r="D498" s="105">
        <v>86426</v>
      </c>
      <c r="E498" s="105">
        <v>70131</v>
      </c>
      <c r="F498" s="105">
        <v>111570</v>
      </c>
      <c r="G498" s="105">
        <v>99003</v>
      </c>
      <c r="H498" s="105"/>
      <c r="I498" s="106"/>
      <c r="J498" s="106"/>
      <c r="K498" s="106"/>
      <c r="L498" s="106"/>
      <c r="M498" s="106"/>
      <c r="N498" s="106"/>
      <c r="O498" s="105">
        <f t="shared" si="105"/>
        <v>427639</v>
      </c>
    </row>
    <row r="499" spans="1:15" ht="16.5" customHeight="1" x14ac:dyDescent="0.15">
      <c r="A499" s="247"/>
      <c r="B499" s="166" t="s">
        <v>22</v>
      </c>
      <c r="C499" s="105">
        <v>104525</v>
      </c>
      <c r="D499" s="105">
        <v>104525</v>
      </c>
      <c r="E499" s="105">
        <v>130681</v>
      </c>
      <c r="F499" s="105">
        <v>138729</v>
      </c>
      <c r="G499" s="105">
        <v>182086</v>
      </c>
      <c r="H499" s="105"/>
      <c r="I499" s="105"/>
      <c r="J499" s="105"/>
      <c r="K499" s="105"/>
      <c r="L499" s="105"/>
      <c r="M499" s="105"/>
      <c r="N499" s="105"/>
      <c r="O499" s="105">
        <f t="shared" si="105"/>
        <v>660546</v>
      </c>
    </row>
    <row r="500" spans="1:15" ht="16.5" customHeight="1" x14ac:dyDescent="0.15">
      <c r="A500" s="247"/>
      <c r="B500" s="166" t="s">
        <v>67</v>
      </c>
      <c r="C500" s="105">
        <v>11605</v>
      </c>
      <c r="D500" s="105">
        <v>11605</v>
      </c>
      <c r="E500" s="105">
        <v>15634</v>
      </c>
      <c r="F500" s="105">
        <v>16874</v>
      </c>
      <c r="G500" s="105">
        <v>19526</v>
      </c>
      <c r="H500" s="105"/>
      <c r="I500" s="105"/>
      <c r="J500" s="105"/>
      <c r="K500" s="105"/>
      <c r="L500" s="105"/>
      <c r="M500" s="105"/>
      <c r="N500" s="105"/>
      <c r="O500" s="105">
        <f t="shared" si="105"/>
        <v>75244</v>
      </c>
    </row>
    <row r="501" spans="1:15" ht="16.5" customHeight="1" x14ac:dyDescent="0.15">
      <c r="A501" s="247"/>
      <c r="B501" s="166" t="s">
        <v>23</v>
      </c>
      <c r="C501" s="105">
        <v>174198</v>
      </c>
      <c r="D501" s="105">
        <v>174198</v>
      </c>
      <c r="E501" s="105">
        <v>217789</v>
      </c>
      <c r="F501" s="105">
        <v>231202</v>
      </c>
      <c r="G501" s="105">
        <v>303464</v>
      </c>
      <c r="H501" s="105"/>
      <c r="I501" s="105"/>
      <c r="J501" s="105"/>
      <c r="K501" s="105"/>
      <c r="L501" s="105"/>
      <c r="M501" s="105"/>
      <c r="N501" s="105"/>
      <c r="O501" s="105">
        <f t="shared" si="105"/>
        <v>1100851</v>
      </c>
    </row>
    <row r="502" spans="1:15" ht="16.5" customHeight="1" x14ac:dyDescent="0.15">
      <c r="A502" s="247"/>
      <c r="B502" s="166" t="s">
        <v>157</v>
      </c>
      <c r="C502" s="105">
        <v>19177</v>
      </c>
      <c r="D502" s="105">
        <v>24922</v>
      </c>
      <c r="E502" s="105">
        <v>28054</v>
      </c>
      <c r="F502" s="105">
        <v>31166</v>
      </c>
      <c r="G502" s="105">
        <v>32192</v>
      </c>
      <c r="H502" s="105"/>
      <c r="I502" s="105"/>
      <c r="J502" s="105"/>
      <c r="K502" s="105"/>
      <c r="L502" s="105"/>
      <c r="M502" s="105"/>
      <c r="N502" s="105"/>
      <c r="O502" s="105">
        <f t="shared" si="105"/>
        <v>135511</v>
      </c>
    </row>
    <row r="503" spans="1:15" ht="16.5" customHeight="1" x14ac:dyDescent="0.15">
      <c r="A503" s="247"/>
      <c r="B503" s="166" t="s">
        <v>158</v>
      </c>
      <c r="C503" s="105">
        <v>2422563</v>
      </c>
      <c r="D503" s="105">
        <v>2932045</v>
      </c>
      <c r="E503" s="105">
        <v>3300123</v>
      </c>
      <c r="F503" s="105">
        <v>3666658</v>
      </c>
      <c r="G503" s="105">
        <v>3787411</v>
      </c>
      <c r="H503" s="105"/>
      <c r="I503" s="105"/>
      <c r="J503" s="105"/>
      <c r="K503" s="105"/>
      <c r="L503" s="105"/>
      <c r="M503" s="105"/>
      <c r="N503" s="105"/>
      <c r="O503" s="105">
        <f t="shared" si="105"/>
        <v>16108800</v>
      </c>
    </row>
    <row r="504" spans="1:15" ht="16.5" customHeight="1" x14ac:dyDescent="0.15">
      <c r="A504" s="247"/>
      <c r="B504" s="171"/>
      <c r="C504" s="107"/>
      <c r="D504" s="107">
        <v>17</v>
      </c>
      <c r="E504" s="107">
        <v>21</v>
      </c>
      <c r="F504" s="107">
        <v>21</v>
      </c>
      <c r="G504" s="107">
        <v>22</v>
      </c>
      <c r="H504" s="107"/>
      <c r="I504" s="107"/>
      <c r="J504" s="107"/>
      <c r="K504" s="107"/>
      <c r="L504" s="107"/>
      <c r="M504" s="107"/>
      <c r="N504" s="107"/>
      <c r="O504" s="107"/>
    </row>
    <row r="505" spans="1:15" ht="16.5" customHeight="1" thickBot="1" x14ac:dyDescent="0.2">
      <c r="A505" s="247"/>
      <c r="B505" s="171" t="s">
        <v>171</v>
      </c>
      <c r="C505" s="107">
        <v>2</v>
      </c>
      <c r="D505" s="107">
        <v>5</v>
      </c>
      <c r="E505" s="107">
        <v>3</v>
      </c>
      <c r="F505" s="107">
        <v>8</v>
      </c>
      <c r="G505" s="107">
        <v>6</v>
      </c>
      <c r="H505" s="107"/>
      <c r="I505" s="107"/>
      <c r="J505" s="107"/>
      <c r="K505" s="107"/>
      <c r="L505" s="107"/>
      <c r="M505" s="107"/>
      <c r="N505" s="107"/>
      <c r="O505" s="168">
        <f t="shared" si="105"/>
        <v>24</v>
      </c>
    </row>
    <row r="506" spans="1:15" ht="16.5" customHeight="1" thickTop="1" x14ac:dyDescent="0.15">
      <c r="A506" s="247"/>
      <c r="B506" s="169" t="s">
        <v>159</v>
      </c>
      <c r="C506" s="110">
        <f>IF(C494="","",C494-SUM(C495:C502))</f>
        <v>1139169</v>
      </c>
      <c r="D506" s="110">
        <v>1433604</v>
      </c>
      <c r="E506" s="110">
        <v>1590687</v>
      </c>
      <c r="F506" s="110">
        <v>1739771</v>
      </c>
      <c r="G506" s="110">
        <v>1659064</v>
      </c>
      <c r="H506" s="110" t="str">
        <f t="shared" ref="H506:M506" si="106">IF(H494="","",H494-SUM(H495:H502))</f>
        <v/>
      </c>
      <c r="I506" s="110" t="str">
        <f t="shared" si="106"/>
        <v/>
      </c>
      <c r="J506" s="110" t="str">
        <f t="shared" si="106"/>
        <v/>
      </c>
      <c r="K506" s="110" t="str">
        <f t="shared" si="106"/>
        <v/>
      </c>
      <c r="L506" s="110" t="str">
        <f t="shared" si="106"/>
        <v/>
      </c>
      <c r="M506" s="110" t="str">
        <f t="shared" si="106"/>
        <v/>
      </c>
      <c r="N506" s="110" t="str">
        <f>IF(N494="","",N494-SUM(N495:N502))</f>
        <v/>
      </c>
      <c r="O506" s="110">
        <f>IF(O494="","",O494-SUM(O495:O502))</f>
        <v>7562295</v>
      </c>
    </row>
    <row r="507" spans="1:15" ht="16.5" customHeight="1" thickBot="1" x14ac:dyDescent="0.2">
      <c r="A507" s="248"/>
      <c r="B507" s="170" t="s">
        <v>160</v>
      </c>
      <c r="C507" s="112">
        <f t="shared" ref="C507:O507" si="107">IF(C494="","",IF(C494=0,"―     ",C506/C494))</f>
        <v>0.29426485642702838</v>
      </c>
      <c r="D507" s="112">
        <v>0.30626680900399689</v>
      </c>
      <c r="E507" s="112">
        <v>0.30109722413612955</v>
      </c>
      <c r="F507" s="112">
        <v>0.29870390083098686</v>
      </c>
      <c r="G507" s="112">
        <v>0.27726190780586668</v>
      </c>
      <c r="H507" s="112" t="str">
        <f t="shared" si="107"/>
        <v/>
      </c>
      <c r="I507" s="112" t="str">
        <f t="shared" si="107"/>
        <v/>
      </c>
      <c r="J507" s="112" t="str">
        <f t="shared" si="107"/>
        <v/>
      </c>
      <c r="K507" s="112" t="str">
        <f t="shared" si="107"/>
        <v/>
      </c>
      <c r="L507" s="112" t="str">
        <f t="shared" si="107"/>
        <v/>
      </c>
      <c r="M507" s="112" t="str">
        <f t="shared" si="107"/>
        <v/>
      </c>
      <c r="N507" s="112" t="str">
        <f t="shared" si="107"/>
        <v/>
      </c>
      <c r="O507" s="112">
        <f t="shared" si="107"/>
        <v>0.29490395658552915</v>
      </c>
    </row>
    <row r="508" spans="1:15" ht="16.5" customHeight="1" x14ac:dyDescent="0.15">
      <c r="A508" s="251"/>
      <c r="B508" s="164" t="s">
        <v>21</v>
      </c>
      <c r="C508" s="102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3">
        <f>SUM(C508:N508)</f>
        <v>0</v>
      </c>
    </row>
    <row r="509" spans="1:15" ht="16.5" customHeight="1" x14ac:dyDescent="0.15">
      <c r="A509" s="247"/>
      <c r="B509" s="166" t="s">
        <v>155</v>
      </c>
      <c r="C509" s="105"/>
      <c r="D509" s="105"/>
      <c r="E509" s="105"/>
      <c r="F509" s="105"/>
      <c r="G509" s="105"/>
      <c r="H509" s="105"/>
      <c r="I509" s="105"/>
      <c r="J509" s="105"/>
      <c r="K509" s="105"/>
      <c r="L509" s="105"/>
      <c r="M509" s="105"/>
      <c r="N509" s="105"/>
      <c r="O509" s="105">
        <f t="shared" ref="O509:O519" si="108">SUM(C509:N509)</f>
        <v>0</v>
      </c>
    </row>
    <row r="510" spans="1:15" ht="16.5" customHeight="1" x14ac:dyDescent="0.15">
      <c r="A510" s="247"/>
      <c r="B510" s="166" t="s">
        <v>156</v>
      </c>
      <c r="C510" s="105"/>
      <c r="D510" s="105"/>
      <c r="E510" s="105"/>
      <c r="F510" s="105"/>
      <c r="G510" s="105"/>
      <c r="H510" s="105"/>
      <c r="I510" s="105"/>
      <c r="J510" s="105"/>
      <c r="K510" s="105"/>
      <c r="L510" s="105"/>
      <c r="M510" s="105"/>
      <c r="N510" s="105"/>
      <c r="O510" s="105">
        <f t="shared" si="108"/>
        <v>0</v>
      </c>
    </row>
    <row r="511" spans="1:15" ht="16.5" customHeight="1" x14ac:dyDescent="0.15">
      <c r="A511" s="247"/>
      <c r="B511" s="166" t="s">
        <v>26</v>
      </c>
      <c r="C511" s="105"/>
      <c r="D511" s="105"/>
      <c r="E511" s="105"/>
      <c r="F511" s="105"/>
      <c r="G511" s="105"/>
      <c r="H511" s="105"/>
      <c r="I511" s="105"/>
      <c r="J511" s="105"/>
      <c r="K511" s="105"/>
      <c r="L511" s="105"/>
      <c r="M511" s="105"/>
      <c r="N511" s="105"/>
      <c r="O511" s="105">
        <f t="shared" si="108"/>
        <v>0</v>
      </c>
    </row>
    <row r="512" spans="1:15" ht="16.5" customHeight="1" x14ac:dyDescent="0.15">
      <c r="A512" s="247"/>
      <c r="B512" s="166" t="s">
        <v>66</v>
      </c>
      <c r="C512" s="106"/>
      <c r="D512" s="105"/>
      <c r="E512" s="105"/>
      <c r="F512" s="105"/>
      <c r="G512" s="105"/>
      <c r="H512" s="105"/>
      <c r="I512" s="106"/>
      <c r="J512" s="106"/>
      <c r="K512" s="106"/>
      <c r="L512" s="106"/>
      <c r="M512" s="106"/>
      <c r="N512" s="106"/>
      <c r="O512" s="105">
        <f t="shared" si="108"/>
        <v>0</v>
      </c>
    </row>
    <row r="513" spans="1:15" ht="16.5" customHeight="1" x14ac:dyDescent="0.15">
      <c r="A513" s="247"/>
      <c r="B513" s="166" t="s">
        <v>22</v>
      </c>
      <c r="C513" s="105"/>
      <c r="D513" s="105"/>
      <c r="E513" s="105"/>
      <c r="F513" s="105"/>
      <c r="G513" s="105"/>
      <c r="H513" s="105"/>
      <c r="I513" s="105"/>
      <c r="J513" s="105"/>
      <c r="K513" s="105"/>
      <c r="L513" s="105"/>
      <c r="M513" s="105"/>
      <c r="N513" s="105"/>
      <c r="O513" s="105">
        <f t="shared" si="108"/>
        <v>0</v>
      </c>
    </row>
    <row r="514" spans="1:15" ht="16.5" customHeight="1" x14ac:dyDescent="0.15">
      <c r="A514" s="247"/>
      <c r="B514" s="166" t="s">
        <v>67</v>
      </c>
      <c r="C514" s="105"/>
      <c r="D514" s="105"/>
      <c r="E514" s="105"/>
      <c r="F514" s="105"/>
      <c r="G514" s="105"/>
      <c r="H514" s="105"/>
      <c r="I514" s="105"/>
      <c r="J514" s="105"/>
      <c r="K514" s="105"/>
      <c r="L514" s="105"/>
      <c r="M514" s="105"/>
      <c r="N514" s="105"/>
      <c r="O514" s="105">
        <f t="shared" si="108"/>
        <v>0</v>
      </c>
    </row>
    <row r="515" spans="1:15" ht="16.5" customHeight="1" x14ac:dyDescent="0.15">
      <c r="A515" s="247"/>
      <c r="B515" s="166" t="s">
        <v>23</v>
      </c>
      <c r="C515" s="105"/>
      <c r="D515" s="105"/>
      <c r="E515" s="105"/>
      <c r="F515" s="105"/>
      <c r="G515" s="105"/>
      <c r="H515" s="105"/>
      <c r="I515" s="105"/>
      <c r="J515" s="105"/>
      <c r="K515" s="105"/>
      <c r="L515" s="105"/>
      <c r="M515" s="105"/>
      <c r="N515" s="105"/>
      <c r="O515" s="105">
        <f t="shared" si="108"/>
        <v>0</v>
      </c>
    </row>
    <row r="516" spans="1:15" ht="16.5" customHeight="1" x14ac:dyDescent="0.15">
      <c r="A516" s="247"/>
      <c r="B516" s="166" t="s">
        <v>157</v>
      </c>
      <c r="C516" s="105"/>
      <c r="D516" s="105"/>
      <c r="E516" s="105"/>
      <c r="F516" s="105"/>
      <c r="G516" s="105"/>
      <c r="H516" s="105"/>
      <c r="I516" s="105"/>
      <c r="J516" s="105"/>
      <c r="K516" s="105"/>
      <c r="L516" s="105"/>
      <c r="M516" s="105"/>
      <c r="N516" s="105"/>
      <c r="O516" s="105">
        <f t="shared" si="108"/>
        <v>0</v>
      </c>
    </row>
    <row r="517" spans="1:15" ht="16.5" customHeight="1" x14ac:dyDescent="0.15">
      <c r="A517" s="247"/>
      <c r="B517" s="166" t="s">
        <v>158</v>
      </c>
      <c r="C517" s="105"/>
      <c r="D517" s="105"/>
      <c r="E517" s="105"/>
      <c r="F517" s="105"/>
      <c r="G517" s="105"/>
      <c r="H517" s="105"/>
      <c r="I517" s="105"/>
      <c r="J517" s="105"/>
      <c r="K517" s="105"/>
      <c r="L517" s="105"/>
      <c r="M517" s="105"/>
      <c r="N517" s="105"/>
      <c r="O517" s="105">
        <f t="shared" si="108"/>
        <v>0</v>
      </c>
    </row>
    <row r="518" spans="1:15" ht="16.5" customHeight="1" x14ac:dyDescent="0.15">
      <c r="A518" s="247"/>
      <c r="B518" s="171"/>
      <c r="C518" s="107"/>
      <c r="D518" s="107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</row>
    <row r="519" spans="1:15" ht="16.5" customHeight="1" thickBot="1" x14ac:dyDescent="0.2">
      <c r="A519" s="247"/>
      <c r="B519" s="171" t="s">
        <v>171</v>
      </c>
      <c r="C519" s="107"/>
      <c r="D519" s="107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68">
        <f t="shared" si="108"/>
        <v>0</v>
      </c>
    </row>
    <row r="520" spans="1:15" ht="16.5" customHeight="1" thickTop="1" x14ac:dyDescent="0.15">
      <c r="A520" s="247"/>
      <c r="B520" s="169" t="s">
        <v>159</v>
      </c>
      <c r="C520" s="110" t="str">
        <f>IF(C508="","",C508-SUM(C509:C516))</f>
        <v/>
      </c>
      <c r="D520" s="110" t="s">
        <v>181</v>
      </c>
      <c r="E520" s="110" t="s">
        <v>181</v>
      </c>
      <c r="F520" s="110" t="s">
        <v>181</v>
      </c>
      <c r="G520" s="110" t="s">
        <v>181</v>
      </c>
      <c r="H520" s="110" t="str">
        <f t="shared" ref="H520:M520" si="109">IF(H508="","",H508-SUM(H509:H516))</f>
        <v/>
      </c>
      <c r="I520" s="110" t="str">
        <f t="shared" si="109"/>
        <v/>
      </c>
      <c r="J520" s="110" t="str">
        <f t="shared" si="109"/>
        <v/>
      </c>
      <c r="K520" s="110" t="str">
        <f t="shared" si="109"/>
        <v/>
      </c>
      <c r="L520" s="110" t="str">
        <f t="shared" si="109"/>
        <v/>
      </c>
      <c r="M520" s="110" t="str">
        <f t="shared" si="109"/>
        <v/>
      </c>
      <c r="N520" s="110" t="str">
        <f>IF(N508="","",N508-SUM(N509:N516))</f>
        <v/>
      </c>
      <c r="O520" s="110">
        <f>IF(O508="","",O508-SUM(O509:O516))</f>
        <v>0</v>
      </c>
    </row>
    <row r="521" spans="1:15" ht="16.5" customHeight="1" thickBot="1" x14ac:dyDescent="0.2">
      <c r="A521" s="248"/>
      <c r="B521" s="170" t="s">
        <v>160</v>
      </c>
      <c r="C521" s="112" t="str">
        <f t="shared" ref="C521:O521" si="110">IF(C508="","",IF(C508=0,"―     ",C520/C508))</f>
        <v/>
      </c>
      <c r="D521" s="112" t="s">
        <v>181</v>
      </c>
      <c r="E521" s="112" t="s">
        <v>181</v>
      </c>
      <c r="F521" s="112" t="s">
        <v>181</v>
      </c>
      <c r="G521" s="112" t="s">
        <v>181</v>
      </c>
      <c r="H521" s="112" t="str">
        <f t="shared" si="110"/>
        <v/>
      </c>
      <c r="I521" s="112" t="str">
        <f t="shared" si="110"/>
        <v/>
      </c>
      <c r="J521" s="112" t="str">
        <f t="shared" si="110"/>
        <v/>
      </c>
      <c r="K521" s="112" t="str">
        <f t="shared" si="110"/>
        <v/>
      </c>
      <c r="L521" s="112" t="str">
        <f t="shared" si="110"/>
        <v/>
      </c>
      <c r="M521" s="112" t="str">
        <f t="shared" si="110"/>
        <v/>
      </c>
      <c r="N521" s="112" t="str">
        <f t="shared" si="110"/>
        <v/>
      </c>
      <c r="O521" s="112" t="str">
        <f t="shared" si="110"/>
        <v xml:space="preserve">―     </v>
      </c>
    </row>
    <row r="522" spans="1:15" ht="16.5" customHeight="1" x14ac:dyDescent="0.15">
      <c r="A522" s="251"/>
      <c r="B522" s="164" t="s">
        <v>21</v>
      </c>
      <c r="C522" s="102">
        <v>872896</v>
      </c>
      <c r="D522" s="102">
        <v>858400</v>
      </c>
      <c r="E522" s="102">
        <v>983088</v>
      </c>
      <c r="F522" s="102">
        <v>928906</v>
      </c>
      <c r="G522" s="102">
        <v>968592</v>
      </c>
      <c r="H522" s="102"/>
      <c r="I522" s="102"/>
      <c r="J522" s="102"/>
      <c r="K522" s="102"/>
      <c r="L522" s="102"/>
      <c r="M522" s="102"/>
      <c r="N522" s="102"/>
      <c r="O522" s="103">
        <f>SUM(C522:N522)</f>
        <v>4611882</v>
      </c>
    </row>
    <row r="523" spans="1:15" ht="16.5" customHeight="1" x14ac:dyDescent="0.15">
      <c r="A523" s="247"/>
      <c r="B523" s="166" t="s">
        <v>155</v>
      </c>
      <c r="C523" s="105">
        <v>532800</v>
      </c>
      <c r="D523" s="105">
        <v>568800</v>
      </c>
      <c r="E523" s="105">
        <v>583200</v>
      </c>
      <c r="F523" s="105">
        <v>604800</v>
      </c>
      <c r="G523" s="105">
        <v>604800</v>
      </c>
      <c r="H523" s="105"/>
      <c r="I523" s="105"/>
      <c r="J523" s="105"/>
      <c r="K523" s="105"/>
      <c r="L523" s="105"/>
      <c r="M523" s="105"/>
      <c r="N523" s="105"/>
      <c r="O523" s="105">
        <f t="shared" ref="O523:O533" si="111">SUM(C523:N523)</f>
        <v>2894400</v>
      </c>
    </row>
    <row r="524" spans="1:15" ht="16.5" customHeight="1" x14ac:dyDescent="0.15">
      <c r="A524" s="247"/>
      <c r="B524" s="166" t="s">
        <v>156</v>
      </c>
      <c r="C524" s="105">
        <v>0</v>
      </c>
      <c r="D524" s="105">
        <v>0</v>
      </c>
      <c r="E524" s="105">
        <v>0</v>
      </c>
      <c r="F524" s="105">
        <v>0</v>
      </c>
      <c r="G524" s="105">
        <v>0</v>
      </c>
      <c r="H524" s="105"/>
      <c r="I524" s="105"/>
      <c r="J524" s="105"/>
      <c r="K524" s="105"/>
      <c r="L524" s="105"/>
      <c r="M524" s="105"/>
      <c r="N524" s="105"/>
      <c r="O524" s="105">
        <f t="shared" si="111"/>
        <v>0</v>
      </c>
    </row>
    <row r="525" spans="1:15" ht="16.5" customHeight="1" x14ac:dyDescent="0.15">
      <c r="A525" s="247"/>
      <c r="B525" s="166" t="s">
        <v>26</v>
      </c>
      <c r="C525" s="105">
        <v>42715</v>
      </c>
      <c r="D525" s="105">
        <v>40355</v>
      </c>
      <c r="E525" s="105">
        <v>47565</v>
      </c>
      <c r="F525" s="105">
        <v>45160</v>
      </c>
      <c r="G525" s="105">
        <v>47720</v>
      </c>
      <c r="H525" s="105"/>
      <c r="I525" s="105"/>
      <c r="J525" s="105"/>
      <c r="K525" s="105"/>
      <c r="L525" s="105"/>
      <c r="M525" s="105"/>
      <c r="N525" s="105"/>
      <c r="O525" s="105">
        <f t="shared" si="111"/>
        <v>223515</v>
      </c>
    </row>
    <row r="526" spans="1:15" ht="16.5" customHeight="1" x14ac:dyDescent="0.15">
      <c r="A526" s="247"/>
      <c r="B526" s="166" t="s">
        <v>66</v>
      </c>
      <c r="C526" s="106">
        <v>9000</v>
      </c>
      <c r="D526" s="105">
        <v>0</v>
      </c>
      <c r="E526" s="105">
        <v>27000</v>
      </c>
      <c r="F526" s="105">
        <v>563</v>
      </c>
      <c r="G526" s="105">
        <v>18000</v>
      </c>
      <c r="H526" s="105"/>
      <c r="I526" s="106"/>
      <c r="J526" s="106"/>
      <c r="K526" s="106"/>
      <c r="L526" s="106"/>
      <c r="M526" s="106"/>
      <c r="N526" s="106"/>
      <c r="O526" s="105">
        <f t="shared" si="111"/>
        <v>54563</v>
      </c>
    </row>
    <row r="527" spans="1:15" ht="16.5" customHeight="1" x14ac:dyDescent="0.15">
      <c r="A527" s="247"/>
      <c r="B527" s="166" t="s">
        <v>22</v>
      </c>
      <c r="C527" s="105">
        <v>31689</v>
      </c>
      <c r="D527" s="105">
        <v>31689</v>
      </c>
      <c r="E527" s="105">
        <v>31689</v>
      </c>
      <c r="F527" s="105">
        <v>31689</v>
      </c>
      <c r="G527" s="105">
        <v>39737</v>
      </c>
      <c r="H527" s="105"/>
      <c r="I527" s="105"/>
      <c r="J527" s="105"/>
      <c r="K527" s="105"/>
      <c r="L527" s="105"/>
      <c r="M527" s="105"/>
      <c r="N527" s="105"/>
      <c r="O527" s="105">
        <f t="shared" si="111"/>
        <v>166493</v>
      </c>
    </row>
    <row r="528" spans="1:15" ht="16.5" customHeight="1" x14ac:dyDescent="0.15">
      <c r="A528" s="247"/>
      <c r="B528" s="166" t="s">
        <v>67</v>
      </c>
      <c r="C528" s="105">
        <v>2324</v>
      </c>
      <c r="D528" s="105">
        <v>2324</v>
      </c>
      <c r="E528" s="105">
        <v>2324</v>
      </c>
      <c r="F528" s="105">
        <v>2324</v>
      </c>
      <c r="G528" s="105">
        <v>3564</v>
      </c>
      <c r="H528" s="105"/>
      <c r="I528" s="105"/>
      <c r="J528" s="105"/>
      <c r="K528" s="105"/>
      <c r="L528" s="105"/>
      <c r="M528" s="105"/>
      <c r="N528" s="105"/>
      <c r="O528" s="105">
        <f t="shared" si="111"/>
        <v>12860</v>
      </c>
    </row>
    <row r="529" spans="1:15" ht="16.5" customHeight="1" x14ac:dyDescent="0.15">
      <c r="A529" s="247"/>
      <c r="B529" s="166" t="s">
        <v>23</v>
      </c>
      <c r="C529" s="105">
        <v>52812</v>
      </c>
      <c r="D529" s="105">
        <v>52812</v>
      </c>
      <c r="E529" s="105">
        <v>52812</v>
      </c>
      <c r="F529" s="105">
        <v>52812</v>
      </c>
      <c r="G529" s="105">
        <v>66225</v>
      </c>
      <c r="H529" s="105"/>
      <c r="I529" s="105"/>
      <c r="J529" s="105"/>
      <c r="K529" s="105"/>
      <c r="L529" s="105"/>
      <c r="M529" s="105"/>
      <c r="N529" s="105"/>
      <c r="O529" s="105">
        <f t="shared" si="111"/>
        <v>277473</v>
      </c>
    </row>
    <row r="530" spans="1:15" ht="16.5" customHeight="1" x14ac:dyDescent="0.15">
      <c r="A530" s="247"/>
      <c r="B530" s="166" t="s">
        <v>157</v>
      </c>
      <c r="C530" s="105">
        <v>4629</v>
      </c>
      <c r="D530" s="105">
        <v>5179</v>
      </c>
      <c r="E530" s="105">
        <v>5591</v>
      </c>
      <c r="F530" s="105">
        <v>5531</v>
      </c>
      <c r="G530" s="105">
        <v>5701</v>
      </c>
      <c r="H530" s="105"/>
      <c r="I530" s="105"/>
      <c r="J530" s="105"/>
      <c r="K530" s="105"/>
      <c r="L530" s="105"/>
      <c r="M530" s="105"/>
      <c r="N530" s="105"/>
      <c r="O530" s="105">
        <f t="shared" si="111"/>
        <v>26631</v>
      </c>
    </row>
    <row r="531" spans="1:15" ht="16.5" customHeight="1" x14ac:dyDescent="0.15">
      <c r="A531" s="247"/>
      <c r="B531" s="166" t="s">
        <v>158</v>
      </c>
      <c r="C531" s="105">
        <v>584515</v>
      </c>
      <c r="D531" s="105">
        <v>609155</v>
      </c>
      <c r="E531" s="105">
        <v>657765</v>
      </c>
      <c r="F531" s="105">
        <v>650523</v>
      </c>
      <c r="G531" s="105">
        <v>670520</v>
      </c>
      <c r="H531" s="105"/>
      <c r="I531" s="105"/>
      <c r="J531" s="105"/>
      <c r="K531" s="105"/>
      <c r="L531" s="105"/>
      <c r="M531" s="105"/>
      <c r="N531" s="105"/>
      <c r="O531" s="105">
        <f t="shared" si="111"/>
        <v>3172478</v>
      </c>
    </row>
    <row r="532" spans="1:15" ht="16.5" customHeight="1" x14ac:dyDescent="0.15">
      <c r="A532" s="247"/>
      <c r="B532" s="171"/>
      <c r="C532" s="107"/>
      <c r="D532" s="107">
        <v>4</v>
      </c>
      <c r="E532" s="107">
        <v>4</v>
      </c>
      <c r="F532" s="107">
        <v>4</v>
      </c>
      <c r="G532" s="107">
        <v>5</v>
      </c>
      <c r="H532" s="107"/>
      <c r="I532" s="107"/>
      <c r="J532" s="107"/>
      <c r="K532" s="107"/>
      <c r="L532" s="107"/>
      <c r="M532" s="107"/>
      <c r="N532" s="107"/>
      <c r="O532" s="107"/>
    </row>
    <row r="533" spans="1:15" ht="16.5" customHeight="1" thickBot="1" x14ac:dyDescent="0.2">
      <c r="A533" s="247"/>
      <c r="B533" s="171" t="s">
        <v>171</v>
      </c>
      <c r="C533" s="107">
        <v>0</v>
      </c>
      <c r="D533" s="107">
        <v>5</v>
      </c>
      <c r="E533" s="107">
        <v>0</v>
      </c>
      <c r="F533" s="107">
        <v>4</v>
      </c>
      <c r="G533" s="107">
        <v>3</v>
      </c>
      <c r="H533" s="107"/>
      <c r="I533" s="107"/>
      <c r="J533" s="107"/>
      <c r="K533" s="107"/>
      <c r="L533" s="107"/>
      <c r="M533" s="107"/>
      <c r="N533" s="107"/>
      <c r="O533" s="168">
        <f t="shared" si="111"/>
        <v>12</v>
      </c>
    </row>
    <row r="534" spans="1:15" ht="16.5" customHeight="1" thickTop="1" x14ac:dyDescent="0.15">
      <c r="A534" s="247"/>
      <c r="B534" s="169" t="s">
        <v>159</v>
      </c>
      <c r="C534" s="110">
        <f>IF(C522="","",C522-SUM(C523:C530))</f>
        <v>196927</v>
      </c>
      <c r="D534" s="110">
        <v>157241</v>
      </c>
      <c r="E534" s="110">
        <v>232907</v>
      </c>
      <c r="F534" s="110">
        <v>186027</v>
      </c>
      <c r="G534" s="110">
        <v>182845</v>
      </c>
      <c r="H534" s="110" t="str">
        <f t="shared" ref="H534:M534" si="112">IF(H522="","",H522-SUM(H523:H530))</f>
        <v/>
      </c>
      <c r="I534" s="110" t="str">
        <f t="shared" si="112"/>
        <v/>
      </c>
      <c r="J534" s="110" t="str">
        <f t="shared" si="112"/>
        <v/>
      </c>
      <c r="K534" s="110" t="str">
        <f t="shared" si="112"/>
        <v/>
      </c>
      <c r="L534" s="110" t="str">
        <f t="shared" si="112"/>
        <v/>
      </c>
      <c r="M534" s="110" t="str">
        <f t="shared" si="112"/>
        <v/>
      </c>
      <c r="N534" s="110" t="str">
        <f>IF(N522="","",N522-SUM(N523:N530))</f>
        <v/>
      </c>
      <c r="O534" s="110">
        <f>IF(O522="","",O522-SUM(O523:O530))</f>
        <v>955947</v>
      </c>
    </row>
    <row r="535" spans="1:15" ht="16.5" customHeight="1" thickBot="1" x14ac:dyDescent="0.2">
      <c r="A535" s="248"/>
      <c r="B535" s="170" t="s">
        <v>160</v>
      </c>
      <c r="C535" s="112">
        <f t="shared" ref="C535:O535" si="113">IF(C522="","",IF(C522=0,"―     ",C534/C522))</f>
        <v>0.22560190446513673</v>
      </c>
      <c r="D535" s="112">
        <v>0.18317917054986022</v>
      </c>
      <c r="E535" s="112">
        <v>0.23691368422765816</v>
      </c>
      <c r="F535" s="112">
        <v>0.20026461235044235</v>
      </c>
      <c r="G535" s="112">
        <v>0.1887740142392256</v>
      </c>
      <c r="H535" s="112" t="str">
        <f t="shared" si="113"/>
        <v/>
      </c>
      <c r="I535" s="112" t="str">
        <f t="shared" si="113"/>
        <v/>
      </c>
      <c r="J535" s="112" t="str">
        <f t="shared" si="113"/>
        <v/>
      </c>
      <c r="K535" s="112" t="str">
        <f t="shared" si="113"/>
        <v/>
      </c>
      <c r="L535" s="112" t="str">
        <f t="shared" si="113"/>
        <v/>
      </c>
      <c r="M535" s="112" t="str">
        <f t="shared" si="113"/>
        <v/>
      </c>
      <c r="N535" s="112" t="str">
        <f t="shared" si="113"/>
        <v/>
      </c>
      <c r="O535" s="112">
        <f t="shared" si="113"/>
        <v>0.20727915415008449</v>
      </c>
    </row>
    <row r="536" spans="1:15" ht="16.5" customHeight="1" x14ac:dyDescent="0.15">
      <c r="A536" s="251"/>
      <c r="B536" s="164" t="s">
        <v>21</v>
      </c>
      <c r="C536" s="102">
        <v>308333</v>
      </c>
      <c r="D536" s="102">
        <v>313488</v>
      </c>
      <c r="E536" s="102">
        <v>246665</v>
      </c>
      <c r="F536" s="102">
        <v>298226</v>
      </c>
      <c r="G536" s="102">
        <v>292246</v>
      </c>
      <c r="H536" s="102"/>
      <c r="I536" s="102"/>
      <c r="J536" s="102"/>
      <c r="K536" s="102"/>
      <c r="L536" s="102"/>
      <c r="M536" s="102"/>
      <c r="N536" s="102"/>
      <c r="O536" s="103">
        <f>SUM(C536:N536)</f>
        <v>1458958</v>
      </c>
    </row>
    <row r="537" spans="1:15" ht="16.5" customHeight="1" x14ac:dyDescent="0.15">
      <c r="A537" s="247"/>
      <c r="B537" s="166" t="s">
        <v>155</v>
      </c>
      <c r="C537" s="105">
        <v>176400</v>
      </c>
      <c r="D537" s="105">
        <v>176400</v>
      </c>
      <c r="E537" s="105">
        <v>155925</v>
      </c>
      <c r="F537" s="105">
        <v>168000</v>
      </c>
      <c r="G537" s="105">
        <v>167475</v>
      </c>
      <c r="H537" s="105"/>
      <c r="I537" s="105"/>
      <c r="J537" s="105"/>
      <c r="K537" s="105"/>
      <c r="L537" s="105"/>
      <c r="M537" s="105"/>
      <c r="N537" s="105"/>
      <c r="O537" s="105">
        <f t="shared" ref="O537:O547" si="114">SUM(C537:N537)</f>
        <v>844200</v>
      </c>
    </row>
    <row r="538" spans="1:15" ht="16.5" customHeight="1" x14ac:dyDescent="0.15">
      <c r="A538" s="247"/>
      <c r="B538" s="166" t="s">
        <v>156</v>
      </c>
      <c r="C538" s="105">
        <v>0</v>
      </c>
      <c r="D538" s="105">
        <v>0</v>
      </c>
      <c r="E538" s="105">
        <v>0</v>
      </c>
      <c r="F538" s="105">
        <v>0</v>
      </c>
      <c r="G538" s="105">
        <v>0</v>
      </c>
      <c r="H538" s="105"/>
      <c r="I538" s="105"/>
      <c r="J538" s="105"/>
      <c r="K538" s="105"/>
      <c r="L538" s="105"/>
      <c r="M538" s="105"/>
      <c r="N538" s="105"/>
      <c r="O538" s="105">
        <f t="shared" si="114"/>
        <v>0</v>
      </c>
    </row>
    <row r="539" spans="1:15" ht="16.5" customHeight="1" x14ac:dyDescent="0.15">
      <c r="A539" s="247"/>
      <c r="B539" s="166" t="s">
        <v>26</v>
      </c>
      <c r="C539" s="105">
        <v>4000</v>
      </c>
      <c r="D539" s="105">
        <v>4000</v>
      </c>
      <c r="E539" s="105">
        <v>3200</v>
      </c>
      <c r="F539" s="105">
        <v>3800</v>
      </c>
      <c r="G539" s="105">
        <v>3800</v>
      </c>
      <c r="H539" s="105"/>
      <c r="I539" s="105"/>
      <c r="J539" s="105"/>
      <c r="K539" s="105"/>
      <c r="L539" s="105"/>
      <c r="M539" s="105"/>
      <c r="N539" s="105"/>
      <c r="O539" s="105">
        <f t="shared" si="114"/>
        <v>18800</v>
      </c>
    </row>
    <row r="540" spans="1:15" ht="16.5" customHeight="1" x14ac:dyDescent="0.15">
      <c r="A540" s="247"/>
      <c r="B540" s="166" t="s">
        <v>66</v>
      </c>
      <c r="C540" s="106">
        <v>28230</v>
      </c>
      <c r="D540" s="105">
        <v>31512</v>
      </c>
      <c r="E540" s="105">
        <v>26260</v>
      </c>
      <c r="F540" s="105">
        <v>30199</v>
      </c>
      <c r="G540" s="105">
        <v>26917</v>
      </c>
      <c r="H540" s="105"/>
      <c r="I540" s="106"/>
      <c r="J540" s="106"/>
      <c r="K540" s="106"/>
      <c r="L540" s="106"/>
      <c r="M540" s="106"/>
      <c r="N540" s="106"/>
      <c r="O540" s="105">
        <f t="shared" si="114"/>
        <v>143118</v>
      </c>
    </row>
    <row r="541" spans="1:15" ht="16.5" customHeight="1" x14ac:dyDescent="0.15">
      <c r="A541" s="247"/>
      <c r="B541" s="166" t="s">
        <v>22</v>
      </c>
      <c r="C541" s="105">
        <v>11066</v>
      </c>
      <c r="D541" s="105">
        <v>11066</v>
      </c>
      <c r="E541" s="105">
        <v>11066</v>
      </c>
      <c r="F541" s="105">
        <v>11066</v>
      </c>
      <c r="G541" s="105">
        <v>11066</v>
      </c>
      <c r="H541" s="105"/>
      <c r="I541" s="105"/>
      <c r="J541" s="105"/>
      <c r="K541" s="105"/>
      <c r="L541" s="105"/>
      <c r="M541" s="105"/>
      <c r="N541" s="105"/>
      <c r="O541" s="105">
        <f t="shared" si="114"/>
        <v>55330</v>
      </c>
    </row>
    <row r="542" spans="1:15" ht="16.5" customHeight="1" x14ac:dyDescent="0.15">
      <c r="A542" s="247"/>
      <c r="B542" s="166" t="s">
        <v>67</v>
      </c>
      <c r="C542" s="105">
        <v>0</v>
      </c>
      <c r="D542" s="105">
        <v>0</v>
      </c>
      <c r="E542" s="105">
        <v>0</v>
      </c>
      <c r="F542" s="105">
        <v>0</v>
      </c>
      <c r="G542" s="105">
        <v>0</v>
      </c>
      <c r="H542" s="105"/>
      <c r="I542" s="105"/>
      <c r="J542" s="105"/>
      <c r="K542" s="105"/>
      <c r="L542" s="105"/>
      <c r="M542" s="105"/>
      <c r="N542" s="105"/>
      <c r="O542" s="105">
        <f t="shared" si="114"/>
        <v>0</v>
      </c>
    </row>
    <row r="543" spans="1:15" ht="16.5" customHeight="1" x14ac:dyDescent="0.15">
      <c r="A543" s="247"/>
      <c r="B543" s="166" t="s">
        <v>23</v>
      </c>
      <c r="C543" s="105">
        <v>18443</v>
      </c>
      <c r="D543" s="105">
        <v>18443</v>
      </c>
      <c r="E543" s="105">
        <v>18443</v>
      </c>
      <c r="F543" s="105">
        <v>18443</v>
      </c>
      <c r="G543" s="105">
        <v>18443</v>
      </c>
      <c r="H543" s="105"/>
      <c r="I543" s="105"/>
      <c r="J543" s="105"/>
      <c r="K543" s="105"/>
      <c r="L543" s="105"/>
      <c r="M543" s="105"/>
      <c r="N543" s="105"/>
      <c r="O543" s="105">
        <f t="shared" si="114"/>
        <v>92215</v>
      </c>
    </row>
    <row r="544" spans="1:15" ht="16.5" customHeight="1" x14ac:dyDescent="0.15">
      <c r="A544" s="247"/>
      <c r="B544" s="166" t="s">
        <v>157</v>
      </c>
      <c r="C544" s="105">
        <v>1651</v>
      </c>
      <c r="D544" s="105">
        <v>1802</v>
      </c>
      <c r="E544" s="105">
        <v>1576</v>
      </c>
      <c r="F544" s="105">
        <v>1717</v>
      </c>
      <c r="G544" s="105">
        <v>1685</v>
      </c>
      <c r="H544" s="105"/>
      <c r="I544" s="105"/>
      <c r="J544" s="105"/>
      <c r="K544" s="105"/>
      <c r="L544" s="105"/>
      <c r="M544" s="105"/>
      <c r="N544" s="105"/>
      <c r="O544" s="105">
        <f t="shared" si="114"/>
        <v>8431</v>
      </c>
    </row>
    <row r="545" spans="1:15" ht="16.5" customHeight="1" x14ac:dyDescent="0.15">
      <c r="A545" s="247"/>
      <c r="B545" s="166" t="s">
        <v>158</v>
      </c>
      <c r="C545" s="105">
        <v>208630</v>
      </c>
      <c r="D545" s="105">
        <v>211912</v>
      </c>
      <c r="E545" s="105">
        <v>185385</v>
      </c>
      <c r="F545" s="105">
        <v>201999</v>
      </c>
      <c r="G545" s="105">
        <v>198192</v>
      </c>
      <c r="H545" s="105"/>
      <c r="I545" s="105"/>
      <c r="J545" s="105"/>
      <c r="K545" s="105"/>
      <c r="L545" s="105"/>
      <c r="M545" s="105"/>
      <c r="N545" s="105"/>
      <c r="O545" s="105">
        <f t="shared" si="114"/>
        <v>1006118</v>
      </c>
    </row>
    <row r="546" spans="1:15" ht="16.5" customHeight="1" x14ac:dyDescent="0.15">
      <c r="A546" s="247"/>
      <c r="B546" s="171"/>
      <c r="C546" s="107"/>
      <c r="D546" s="107">
        <v>1</v>
      </c>
      <c r="E546" s="107">
        <v>1</v>
      </c>
      <c r="F546" s="107">
        <v>1</v>
      </c>
      <c r="G546" s="107">
        <v>1</v>
      </c>
      <c r="H546" s="107"/>
      <c r="I546" s="107"/>
      <c r="J546" s="107"/>
      <c r="K546" s="107"/>
      <c r="L546" s="107"/>
      <c r="M546" s="107"/>
      <c r="N546" s="107"/>
      <c r="O546" s="107"/>
    </row>
    <row r="547" spans="1:15" ht="16.5" customHeight="1" thickBot="1" x14ac:dyDescent="0.2">
      <c r="A547" s="247"/>
      <c r="B547" s="171" t="s">
        <v>171</v>
      </c>
      <c r="C547" s="107">
        <v>1</v>
      </c>
      <c r="D547" s="107">
        <v>1</v>
      </c>
      <c r="E547" s="107">
        <v>3</v>
      </c>
      <c r="F547" s="107">
        <v>1</v>
      </c>
      <c r="G547" s="107">
        <v>1</v>
      </c>
      <c r="H547" s="107"/>
      <c r="I547" s="107"/>
      <c r="J547" s="107"/>
      <c r="K547" s="107"/>
      <c r="L547" s="107"/>
      <c r="M547" s="107"/>
      <c r="N547" s="107"/>
      <c r="O547" s="168">
        <f t="shared" si="114"/>
        <v>7</v>
      </c>
    </row>
    <row r="548" spans="1:15" ht="16.5" customHeight="1" thickTop="1" x14ac:dyDescent="0.15">
      <c r="A548" s="247"/>
      <c r="B548" s="169" t="s">
        <v>159</v>
      </c>
      <c r="C548" s="110">
        <f>IF(C536="","",C536-SUM(C537:C544))</f>
        <v>68543</v>
      </c>
      <c r="D548" s="110">
        <v>70265</v>
      </c>
      <c r="E548" s="110">
        <v>30195</v>
      </c>
      <c r="F548" s="110">
        <v>65001</v>
      </c>
      <c r="G548" s="110">
        <v>62860</v>
      </c>
      <c r="H548" s="110" t="str">
        <f t="shared" ref="H548:M548" si="115">IF(H536="","",H536-SUM(H537:H544))</f>
        <v/>
      </c>
      <c r="I548" s="110" t="str">
        <f t="shared" si="115"/>
        <v/>
      </c>
      <c r="J548" s="110" t="str">
        <f t="shared" si="115"/>
        <v/>
      </c>
      <c r="K548" s="110" t="str">
        <f t="shared" si="115"/>
        <v/>
      </c>
      <c r="L548" s="110" t="str">
        <f t="shared" si="115"/>
        <v/>
      </c>
      <c r="M548" s="110" t="str">
        <f t="shared" si="115"/>
        <v/>
      </c>
      <c r="N548" s="110" t="str">
        <f>IF(N536="","",N536-SUM(N537:N544))</f>
        <v/>
      </c>
      <c r="O548" s="110">
        <f>IF(O536="","",O536-SUM(O537:O544))</f>
        <v>296864</v>
      </c>
    </row>
    <row r="549" spans="1:15" ht="16.5" customHeight="1" thickBot="1" x14ac:dyDescent="0.2">
      <c r="A549" s="248"/>
      <c r="B549" s="170" t="s">
        <v>160</v>
      </c>
      <c r="C549" s="112">
        <f t="shared" ref="C549:O549" si="116">IF(C536="","",IF(C536=0,"―     ",C548/C536))</f>
        <v>0.22230186194795887</v>
      </c>
      <c r="D549" s="112">
        <v>0.22413936099627418</v>
      </c>
      <c r="E549" s="112">
        <v>0.12241298927695457</v>
      </c>
      <c r="F549" s="112">
        <v>0.21795886341231147</v>
      </c>
      <c r="G549" s="112">
        <v>0.21509276431499491</v>
      </c>
      <c r="H549" s="112" t="str">
        <f t="shared" si="116"/>
        <v/>
      </c>
      <c r="I549" s="112" t="str">
        <f t="shared" si="116"/>
        <v/>
      </c>
      <c r="J549" s="112" t="str">
        <f t="shared" si="116"/>
        <v/>
      </c>
      <c r="K549" s="112" t="str">
        <f t="shared" si="116"/>
        <v/>
      </c>
      <c r="L549" s="112" t="str">
        <f t="shared" si="116"/>
        <v/>
      </c>
      <c r="M549" s="112" t="str">
        <f t="shared" si="116"/>
        <v/>
      </c>
      <c r="N549" s="112" t="str">
        <f t="shared" si="116"/>
        <v/>
      </c>
      <c r="O549" s="112">
        <f t="shared" si="116"/>
        <v>0.20347672791129012</v>
      </c>
    </row>
    <row r="550" spans="1:15" ht="16.5" customHeight="1" x14ac:dyDescent="0.15">
      <c r="A550" s="251"/>
      <c r="B550" s="164" t="s">
        <v>21</v>
      </c>
      <c r="C550" s="102">
        <v>396318</v>
      </c>
      <c r="D550" s="102">
        <v>475668</v>
      </c>
      <c r="E550" s="102">
        <v>490417</v>
      </c>
      <c r="F550" s="102">
        <v>472045</v>
      </c>
      <c r="G550" s="102">
        <v>456607</v>
      </c>
      <c r="H550" s="102"/>
      <c r="I550" s="102"/>
      <c r="J550" s="102"/>
      <c r="K550" s="102"/>
      <c r="L550" s="102"/>
      <c r="M550" s="102"/>
      <c r="N550" s="102"/>
      <c r="O550" s="103">
        <f>SUM(C550:N550)</f>
        <v>2291055</v>
      </c>
    </row>
    <row r="551" spans="1:15" ht="16.5" customHeight="1" x14ac:dyDescent="0.15">
      <c r="A551" s="247"/>
      <c r="B551" s="166" t="s">
        <v>155</v>
      </c>
      <c r="C551" s="105">
        <v>266850</v>
      </c>
      <c r="D551" s="105">
        <v>288000</v>
      </c>
      <c r="E551" s="105">
        <v>302400</v>
      </c>
      <c r="F551" s="105">
        <v>295200</v>
      </c>
      <c r="G551" s="105">
        <v>281925</v>
      </c>
      <c r="H551" s="105"/>
      <c r="I551" s="105"/>
      <c r="J551" s="105"/>
      <c r="K551" s="105"/>
      <c r="L551" s="105"/>
      <c r="M551" s="105"/>
      <c r="N551" s="105"/>
      <c r="O551" s="105">
        <f t="shared" ref="O551:O561" si="117">SUM(C551:N551)</f>
        <v>1434375</v>
      </c>
    </row>
    <row r="552" spans="1:15" ht="16.5" customHeight="1" x14ac:dyDescent="0.15">
      <c r="A552" s="247"/>
      <c r="B552" s="166" t="s">
        <v>156</v>
      </c>
      <c r="C552" s="105">
        <v>0</v>
      </c>
      <c r="D552" s="105">
        <v>0</v>
      </c>
      <c r="E552" s="105">
        <v>0</v>
      </c>
      <c r="F552" s="105">
        <v>0</v>
      </c>
      <c r="G552" s="105">
        <v>0</v>
      </c>
      <c r="H552" s="105"/>
      <c r="I552" s="105"/>
      <c r="J552" s="105"/>
      <c r="K552" s="105"/>
      <c r="L552" s="105"/>
      <c r="M552" s="105"/>
      <c r="N552" s="105"/>
      <c r="O552" s="105">
        <f t="shared" si="117"/>
        <v>0</v>
      </c>
    </row>
    <row r="553" spans="1:15" ht="16.5" customHeight="1" x14ac:dyDescent="0.15">
      <c r="A553" s="247"/>
      <c r="B553" s="166" t="s">
        <v>26</v>
      </c>
      <c r="C553" s="105">
        <v>18660</v>
      </c>
      <c r="D553" s="105">
        <v>20640</v>
      </c>
      <c r="E553" s="105">
        <v>21420</v>
      </c>
      <c r="F553" s="105">
        <v>21180</v>
      </c>
      <c r="G553" s="105">
        <v>20400</v>
      </c>
      <c r="H553" s="105"/>
      <c r="I553" s="105"/>
      <c r="J553" s="105"/>
      <c r="K553" s="105"/>
      <c r="L553" s="105"/>
      <c r="M553" s="105"/>
      <c r="N553" s="105"/>
      <c r="O553" s="105">
        <f t="shared" si="117"/>
        <v>102300</v>
      </c>
    </row>
    <row r="554" spans="1:15" ht="16.5" customHeight="1" x14ac:dyDescent="0.15">
      <c r="A554" s="247"/>
      <c r="B554" s="166" t="s">
        <v>66</v>
      </c>
      <c r="C554" s="106">
        <v>13219</v>
      </c>
      <c r="D554" s="105">
        <v>22220</v>
      </c>
      <c r="E554" s="105">
        <v>17438</v>
      </c>
      <c r="F554" s="105">
        <v>12657</v>
      </c>
      <c r="G554" s="105">
        <v>23063</v>
      </c>
      <c r="H554" s="105"/>
      <c r="I554" s="106"/>
      <c r="J554" s="106"/>
      <c r="K554" s="106"/>
      <c r="L554" s="106"/>
      <c r="M554" s="106"/>
      <c r="N554" s="106"/>
      <c r="O554" s="105">
        <f t="shared" si="117"/>
        <v>88597</v>
      </c>
    </row>
    <row r="555" spans="1:15" ht="16.5" customHeight="1" x14ac:dyDescent="0.15">
      <c r="A555" s="247"/>
      <c r="B555" s="166" t="s">
        <v>22</v>
      </c>
      <c r="C555" s="105">
        <v>15191</v>
      </c>
      <c r="D555" s="105">
        <v>15191</v>
      </c>
      <c r="E555" s="105">
        <v>15191</v>
      </c>
      <c r="F555" s="105">
        <v>15191</v>
      </c>
      <c r="G555" s="105">
        <v>15191</v>
      </c>
      <c r="H555" s="105"/>
      <c r="I555" s="105"/>
      <c r="J555" s="105"/>
      <c r="K555" s="105"/>
      <c r="L555" s="105"/>
      <c r="M555" s="105"/>
      <c r="N555" s="105"/>
      <c r="O555" s="105">
        <f t="shared" si="117"/>
        <v>75955</v>
      </c>
    </row>
    <row r="556" spans="1:15" ht="16.5" customHeight="1" x14ac:dyDescent="0.15">
      <c r="A556" s="247"/>
      <c r="B556" s="166" t="s">
        <v>67</v>
      </c>
      <c r="C556" s="105">
        <v>1240</v>
      </c>
      <c r="D556" s="105">
        <v>1240</v>
      </c>
      <c r="E556" s="105">
        <v>1240</v>
      </c>
      <c r="F556" s="105">
        <v>1240</v>
      </c>
      <c r="G556" s="105">
        <v>1240</v>
      </c>
      <c r="H556" s="105"/>
      <c r="I556" s="105"/>
      <c r="J556" s="105"/>
      <c r="K556" s="105"/>
      <c r="L556" s="105"/>
      <c r="M556" s="105"/>
      <c r="N556" s="105"/>
      <c r="O556" s="105">
        <f t="shared" si="117"/>
        <v>6200</v>
      </c>
    </row>
    <row r="557" spans="1:15" ht="16.5" customHeight="1" x14ac:dyDescent="0.15">
      <c r="A557" s="247"/>
      <c r="B557" s="166" t="s">
        <v>23</v>
      </c>
      <c r="C557" s="105">
        <v>25317</v>
      </c>
      <c r="D557" s="105">
        <v>25317</v>
      </c>
      <c r="E557" s="105">
        <v>25317</v>
      </c>
      <c r="F557" s="105">
        <v>25317</v>
      </c>
      <c r="G557" s="105">
        <v>25317</v>
      </c>
      <c r="H557" s="105"/>
      <c r="I557" s="105"/>
      <c r="J557" s="105"/>
      <c r="K557" s="105"/>
      <c r="L557" s="105"/>
      <c r="M557" s="105"/>
      <c r="N557" s="105"/>
      <c r="O557" s="105">
        <f t="shared" si="117"/>
        <v>126585</v>
      </c>
    </row>
    <row r="558" spans="1:15" ht="16.5" customHeight="1" x14ac:dyDescent="0.15">
      <c r="A558" s="247"/>
      <c r="B558" s="166" t="s">
        <v>157</v>
      </c>
      <c r="C558" s="105">
        <v>2364</v>
      </c>
      <c r="D558" s="105">
        <v>2812</v>
      </c>
      <c r="E558" s="105">
        <v>2901</v>
      </c>
      <c r="F558" s="105">
        <v>2797</v>
      </c>
      <c r="G558" s="105">
        <v>2766</v>
      </c>
      <c r="H558" s="105"/>
      <c r="I558" s="105"/>
      <c r="J558" s="105"/>
      <c r="K558" s="105"/>
      <c r="L558" s="105"/>
      <c r="M558" s="105"/>
      <c r="N558" s="105"/>
      <c r="O558" s="105">
        <f t="shared" si="117"/>
        <v>13640</v>
      </c>
    </row>
    <row r="559" spans="1:15" ht="16.5" customHeight="1" x14ac:dyDescent="0.15">
      <c r="A559" s="247"/>
      <c r="B559" s="166" t="s">
        <v>158</v>
      </c>
      <c r="C559" s="105">
        <v>298729</v>
      </c>
      <c r="D559" s="105">
        <v>330860</v>
      </c>
      <c r="E559" s="105">
        <v>341258</v>
      </c>
      <c r="F559" s="105">
        <v>329037</v>
      </c>
      <c r="G559" s="105">
        <v>325388</v>
      </c>
      <c r="H559" s="105"/>
      <c r="I559" s="105"/>
      <c r="J559" s="105"/>
      <c r="K559" s="105"/>
      <c r="L559" s="105"/>
      <c r="M559" s="105"/>
      <c r="N559" s="105"/>
      <c r="O559" s="105">
        <f t="shared" si="117"/>
        <v>1625272</v>
      </c>
    </row>
    <row r="560" spans="1:15" ht="16.5" customHeight="1" x14ac:dyDescent="0.15">
      <c r="A560" s="247"/>
      <c r="B560" s="171"/>
      <c r="C560" s="107"/>
      <c r="D560" s="107">
        <v>2</v>
      </c>
      <c r="E560" s="107">
        <v>2</v>
      </c>
      <c r="F560" s="107">
        <v>2</v>
      </c>
      <c r="G560" s="107">
        <v>2</v>
      </c>
      <c r="H560" s="107"/>
      <c r="I560" s="107"/>
      <c r="J560" s="107"/>
      <c r="K560" s="107"/>
      <c r="L560" s="107"/>
      <c r="M560" s="107"/>
      <c r="N560" s="107"/>
      <c r="O560" s="107"/>
    </row>
    <row r="561" spans="1:15" ht="16.5" customHeight="1" thickBot="1" x14ac:dyDescent="0.2">
      <c r="A561" s="247"/>
      <c r="B561" s="171" t="s">
        <v>171</v>
      </c>
      <c r="C561" s="107">
        <v>3</v>
      </c>
      <c r="D561" s="107">
        <v>0</v>
      </c>
      <c r="E561" s="107">
        <v>0</v>
      </c>
      <c r="F561" s="107">
        <v>0</v>
      </c>
      <c r="G561" s="107">
        <v>1</v>
      </c>
      <c r="H561" s="107"/>
      <c r="I561" s="107"/>
      <c r="J561" s="107"/>
      <c r="K561" s="107"/>
      <c r="L561" s="107"/>
      <c r="M561" s="107"/>
      <c r="N561" s="107"/>
      <c r="O561" s="168">
        <f t="shared" si="117"/>
        <v>4</v>
      </c>
    </row>
    <row r="562" spans="1:15" ht="16.5" customHeight="1" thickTop="1" x14ac:dyDescent="0.15">
      <c r="A562" s="247"/>
      <c r="B562" s="169" t="s">
        <v>159</v>
      </c>
      <c r="C562" s="110">
        <f>IF(C550="","",C550-SUM(C551:C558))</f>
        <v>53477</v>
      </c>
      <c r="D562" s="110">
        <v>100248</v>
      </c>
      <c r="E562" s="110">
        <v>104510</v>
      </c>
      <c r="F562" s="110">
        <v>98463</v>
      </c>
      <c r="G562" s="110">
        <v>86705</v>
      </c>
      <c r="H562" s="110" t="str">
        <f t="shared" ref="H562:M562" si="118">IF(H550="","",H550-SUM(H551:H558))</f>
        <v/>
      </c>
      <c r="I562" s="110" t="str">
        <f t="shared" si="118"/>
        <v/>
      </c>
      <c r="J562" s="110" t="str">
        <f t="shared" si="118"/>
        <v/>
      </c>
      <c r="K562" s="110" t="str">
        <f t="shared" si="118"/>
        <v/>
      </c>
      <c r="L562" s="110" t="str">
        <f t="shared" si="118"/>
        <v/>
      </c>
      <c r="M562" s="110" t="str">
        <f t="shared" si="118"/>
        <v/>
      </c>
      <c r="N562" s="110" t="str">
        <f>IF(N550="","",N550-SUM(N551:N558))</f>
        <v/>
      </c>
      <c r="O562" s="110">
        <f>IF(O550="","",O550-SUM(O551:O558))</f>
        <v>443403</v>
      </c>
    </row>
    <row r="563" spans="1:15" ht="16.5" customHeight="1" thickBot="1" x14ac:dyDescent="0.2">
      <c r="A563" s="248"/>
      <c r="B563" s="170" t="s">
        <v>160</v>
      </c>
      <c r="C563" s="112">
        <f t="shared" ref="C563:O563" si="119">IF(C550="","",IF(C550=0,"―     ",C562/C550))</f>
        <v>0.13493457274209095</v>
      </c>
      <c r="D563" s="112">
        <v>0.21075203713514468</v>
      </c>
      <c r="E563" s="112">
        <v>0.21310435812787892</v>
      </c>
      <c r="F563" s="112">
        <v>0.20858816426400026</v>
      </c>
      <c r="G563" s="112">
        <v>0.18988977391936609</v>
      </c>
      <c r="H563" s="112" t="str">
        <f t="shared" si="119"/>
        <v/>
      </c>
      <c r="I563" s="112" t="str">
        <f t="shared" si="119"/>
        <v/>
      </c>
      <c r="J563" s="112" t="str">
        <f t="shared" si="119"/>
        <v/>
      </c>
      <c r="K563" s="112" t="str">
        <f t="shared" si="119"/>
        <v/>
      </c>
      <c r="L563" s="112" t="str">
        <f t="shared" si="119"/>
        <v/>
      </c>
      <c r="M563" s="112" t="str">
        <f t="shared" si="119"/>
        <v/>
      </c>
      <c r="N563" s="112" t="str">
        <f t="shared" si="119"/>
        <v/>
      </c>
      <c r="O563" s="112">
        <f t="shared" si="119"/>
        <v>0.19353660213307844</v>
      </c>
    </row>
    <row r="564" spans="1:15" ht="16.5" customHeight="1" x14ac:dyDescent="0.15">
      <c r="A564" s="251"/>
      <c r="B564" s="164" t="s">
        <v>21</v>
      </c>
      <c r="C564" s="102">
        <v>2606367</v>
      </c>
      <c r="D564" s="102">
        <v>2799684</v>
      </c>
      <c r="E564" s="102">
        <v>3639411</v>
      </c>
      <c r="F564" s="102">
        <v>3997796</v>
      </c>
      <c r="G564" s="102">
        <v>4089403</v>
      </c>
      <c r="H564" s="102"/>
      <c r="I564" s="102"/>
      <c r="J564" s="102"/>
      <c r="K564" s="102"/>
      <c r="L564" s="102"/>
      <c r="M564" s="102"/>
      <c r="N564" s="102"/>
      <c r="O564" s="103">
        <f>SUM(C564:N564)</f>
        <v>17132661</v>
      </c>
    </row>
    <row r="565" spans="1:15" ht="16.5" customHeight="1" x14ac:dyDescent="0.15">
      <c r="A565" s="247"/>
      <c r="B565" s="166" t="s">
        <v>155</v>
      </c>
      <c r="C565" s="105">
        <v>1497998</v>
      </c>
      <c r="D565" s="105">
        <v>1646876</v>
      </c>
      <c r="E565" s="105">
        <v>2191159</v>
      </c>
      <c r="F565" s="105">
        <v>2138728</v>
      </c>
      <c r="G565" s="105">
        <v>2243098</v>
      </c>
      <c r="H565" s="105"/>
      <c r="I565" s="105"/>
      <c r="J565" s="105"/>
      <c r="K565" s="105"/>
      <c r="L565" s="105"/>
      <c r="M565" s="105"/>
      <c r="N565" s="105"/>
      <c r="O565" s="105">
        <f t="shared" ref="O565:O575" si="120">SUM(C565:N565)</f>
        <v>9717859</v>
      </c>
    </row>
    <row r="566" spans="1:15" ht="16.5" customHeight="1" x14ac:dyDescent="0.15">
      <c r="A566" s="247"/>
      <c r="B566" s="166" t="s">
        <v>156</v>
      </c>
      <c r="C566" s="105">
        <v>0</v>
      </c>
      <c r="D566" s="105">
        <v>0</v>
      </c>
      <c r="E566" s="105">
        <v>0</v>
      </c>
      <c r="F566" s="105">
        <v>0</v>
      </c>
      <c r="G566" s="105">
        <v>0</v>
      </c>
      <c r="H566" s="105"/>
      <c r="I566" s="105"/>
      <c r="J566" s="105"/>
      <c r="K566" s="105"/>
      <c r="L566" s="105"/>
      <c r="M566" s="105"/>
      <c r="N566" s="105"/>
      <c r="O566" s="105">
        <f t="shared" si="120"/>
        <v>0</v>
      </c>
    </row>
    <row r="567" spans="1:15" ht="16.5" customHeight="1" x14ac:dyDescent="0.15">
      <c r="A567" s="247"/>
      <c r="B567" s="166" t="s">
        <v>26</v>
      </c>
      <c r="C567" s="105">
        <v>129120</v>
      </c>
      <c r="D567" s="105">
        <v>145760</v>
      </c>
      <c r="E567" s="105">
        <v>214720</v>
      </c>
      <c r="F567" s="105">
        <v>230480</v>
      </c>
      <c r="G567" s="105">
        <v>218960</v>
      </c>
      <c r="H567" s="105"/>
      <c r="I567" s="105"/>
      <c r="J567" s="105"/>
      <c r="K567" s="105"/>
      <c r="L567" s="105"/>
      <c r="M567" s="105"/>
      <c r="N567" s="105"/>
      <c r="O567" s="105">
        <f t="shared" si="120"/>
        <v>939040</v>
      </c>
    </row>
    <row r="568" spans="1:15" ht="16.5" customHeight="1" x14ac:dyDescent="0.15">
      <c r="A568" s="247"/>
      <c r="B568" s="166" t="s">
        <v>66</v>
      </c>
      <c r="C568" s="106">
        <v>111675</v>
      </c>
      <c r="D568" s="105">
        <v>84864</v>
      </c>
      <c r="E568" s="105">
        <v>73767</v>
      </c>
      <c r="F568" s="105">
        <v>69857</v>
      </c>
      <c r="G568" s="105">
        <v>68531</v>
      </c>
      <c r="H568" s="105"/>
      <c r="I568" s="106"/>
      <c r="J568" s="106"/>
      <c r="K568" s="106"/>
      <c r="L568" s="106"/>
      <c r="M568" s="106"/>
      <c r="N568" s="106"/>
      <c r="O568" s="105">
        <f t="shared" si="120"/>
        <v>408694</v>
      </c>
    </row>
    <row r="569" spans="1:15" ht="16.5" customHeight="1" x14ac:dyDescent="0.15">
      <c r="A569" s="247"/>
      <c r="B569" s="166" t="s">
        <v>22</v>
      </c>
      <c r="C569" s="105">
        <v>77462</v>
      </c>
      <c r="D569" s="105">
        <v>77462</v>
      </c>
      <c r="E569" s="105">
        <v>104121</v>
      </c>
      <c r="F569" s="105">
        <v>105127</v>
      </c>
      <c r="G569" s="105">
        <v>95570</v>
      </c>
      <c r="H569" s="105"/>
      <c r="I569" s="105"/>
      <c r="J569" s="105"/>
      <c r="K569" s="105"/>
      <c r="L569" s="105"/>
      <c r="M569" s="105"/>
      <c r="N569" s="105"/>
      <c r="O569" s="105">
        <f t="shared" si="120"/>
        <v>459742</v>
      </c>
    </row>
    <row r="570" spans="1:15" ht="16.5" customHeight="1" x14ac:dyDescent="0.15">
      <c r="A570" s="247"/>
      <c r="B570" s="166" t="s">
        <v>67</v>
      </c>
      <c r="C570" s="105">
        <v>9529</v>
      </c>
      <c r="D570" s="105">
        <v>9529</v>
      </c>
      <c r="E570" s="105">
        <v>12474</v>
      </c>
      <c r="F570" s="105">
        <v>11467</v>
      </c>
      <c r="G570" s="105">
        <v>9995</v>
      </c>
      <c r="H570" s="105"/>
      <c r="I570" s="105"/>
      <c r="J570" s="105"/>
      <c r="K570" s="105"/>
      <c r="L570" s="105"/>
      <c r="M570" s="105"/>
      <c r="N570" s="105"/>
      <c r="O570" s="105">
        <f t="shared" si="120"/>
        <v>52994</v>
      </c>
    </row>
    <row r="571" spans="1:15" ht="16.5" customHeight="1" x14ac:dyDescent="0.15">
      <c r="A571" s="247"/>
      <c r="B571" s="166" t="s">
        <v>23</v>
      </c>
      <c r="C571" s="105">
        <v>129095</v>
      </c>
      <c r="D571" s="105">
        <v>129095</v>
      </c>
      <c r="E571" s="105">
        <v>173525</v>
      </c>
      <c r="F571" s="105">
        <v>175202</v>
      </c>
      <c r="G571" s="105">
        <v>159274</v>
      </c>
      <c r="H571" s="105"/>
      <c r="I571" s="105"/>
      <c r="J571" s="105"/>
      <c r="K571" s="105"/>
      <c r="L571" s="105"/>
      <c r="M571" s="105"/>
      <c r="N571" s="105"/>
      <c r="O571" s="105">
        <f t="shared" si="120"/>
        <v>766191</v>
      </c>
    </row>
    <row r="572" spans="1:15" ht="16.5" customHeight="1" x14ac:dyDescent="0.15">
      <c r="A572" s="247"/>
      <c r="B572" s="166" t="s">
        <v>157</v>
      </c>
      <c r="C572" s="105">
        <v>13766</v>
      </c>
      <c r="D572" s="105">
        <v>15958</v>
      </c>
      <c r="E572" s="105">
        <v>21076</v>
      </c>
      <c r="F572" s="105">
        <v>20200</v>
      </c>
      <c r="G572" s="105">
        <v>21512</v>
      </c>
      <c r="H572" s="105"/>
      <c r="I572" s="105"/>
      <c r="J572" s="105"/>
      <c r="K572" s="105"/>
      <c r="L572" s="105"/>
      <c r="M572" s="105"/>
      <c r="N572" s="105"/>
      <c r="O572" s="105">
        <f t="shared" si="120"/>
        <v>92512</v>
      </c>
    </row>
    <row r="573" spans="1:15" ht="16.5" customHeight="1" x14ac:dyDescent="0.15">
      <c r="A573" s="247"/>
      <c r="B573" s="166" t="s">
        <v>158</v>
      </c>
      <c r="C573" s="105">
        <v>1738793</v>
      </c>
      <c r="D573" s="105">
        <v>1877500</v>
      </c>
      <c r="E573" s="105">
        <v>2479646</v>
      </c>
      <c r="F573" s="105">
        <v>2439065</v>
      </c>
      <c r="G573" s="105">
        <v>2530589</v>
      </c>
      <c r="H573" s="105"/>
      <c r="I573" s="105"/>
      <c r="J573" s="105"/>
      <c r="K573" s="105"/>
      <c r="L573" s="105"/>
      <c r="M573" s="105"/>
      <c r="N573" s="105"/>
      <c r="O573" s="105">
        <f t="shared" si="120"/>
        <v>11065593</v>
      </c>
    </row>
    <row r="574" spans="1:15" ht="16.5" customHeight="1" x14ac:dyDescent="0.15">
      <c r="A574" s="247"/>
      <c r="B574" s="171"/>
      <c r="C574" s="107"/>
      <c r="D574" s="107">
        <v>14</v>
      </c>
      <c r="E574" s="107">
        <v>16</v>
      </c>
      <c r="F574" s="107">
        <v>17</v>
      </c>
      <c r="G574" s="107">
        <v>19</v>
      </c>
      <c r="H574" s="107"/>
      <c r="I574" s="107"/>
      <c r="J574" s="107"/>
      <c r="K574" s="107"/>
      <c r="L574" s="107"/>
      <c r="M574" s="107"/>
      <c r="N574" s="107"/>
      <c r="O574" s="107"/>
    </row>
    <row r="575" spans="1:15" ht="16.5" customHeight="1" thickBot="1" x14ac:dyDescent="0.2">
      <c r="A575" s="247"/>
      <c r="B575" s="171" t="s">
        <v>171</v>
      </c>
      <c r="C575" s="107">
        <v>0</v>
      </c>
      <c r="D575" s="107">
        <v>1</v>
      </c>
      <c r="E575" s="107">
        <v>4</v>
      </c>
      <c r="F575" s="107">
        <v>3</v>
      </c>
      <c r="G575" s="107">
        <v>9</v>
      </c>
      <c r="H575" s="107"/>
      <c r="I575" s="107"/>
      <c r="J575" s="107"/>
      <c r="K575" s="107"/>
      <c r="L575" s="107"/>
      <c r="M575" s="107"/>
      <c r="N575" s="107"/>
      <c r="O575" s="168">
        <f t="shared" si="120"/>
        <v>17</v>
      </c>
    </row>
    <row r="576" spans="1:15" ht="16.5" customHeight="1" thickTop="1" x14ac:dyDescent="0.15">
      <c r="A576" s="247"/>
      <c r="B576" s="169" t="s">
        <v>159</v>
      </c>
      <c r="C576" s="110">
        <f>IF(C564="","",C564-SUM(C565:C572))</f>
        <v>637722</v>
      </c>
      <c r="D576" s="110">
        <v>690140</v>
      </c>
      <c r="E576" s="110">
        <v>848569</v>
      </c>
      <c r="F576" s="110">
        <v>1246735</v>
      </c>
      <c r="G576" s="110">
        <v>1272463</v>
      </c>
      <c r="H576" s="110" t="str">
        <f t="shared" ref="H576:M576" si="121">IF(H564="","",H564-SUM(H565:H572))</f>
        <v/>
      </c>
      <c r="I576" s="110" t="str">
        <f t="shared" si="121"/>
        <v/>
      </c>
      <c r="J576" s="110" t="str">
        <f t="shared" si="121"/>
        <v/>
      </c>
      <c r="K576" s="110" t="str">
        <f t="shared" si="121"/>
        <v/>
      </c>
      <c r="L576" s="110" t="str">
        <f t="shared" si="121"/>
        <v/>
      </c>
      <c r="M576" s="110" t="str">
        <f t="shared" si="121"/>
        <v/>
      </c>
      <c r="N576" s="110" t="str">
        <f>IF(N564="","",N564-SUM(N565:N572))</f>
        <v/>
      </c>
      <c r="O576" s="110">
        <f>IF(O564="","",O564-SUM(O565:O572))</f>
        <v>4695629</v>
      </c>
    </row>
    <row r="577" spans="1:15" ht="16.5" customHeight="1" thickBot="1" x14ac:dyDescent="0.2">
      <c r="A577" s="248"/>
      <c r="B577" s="170" t="s">
        <v>160</v>
      </c>
      <c r="C577" s="112">
        <f t="shared" ref="C577:O577" si="122">IF(C564="","",IF(C564=0,"―     ",C576/C564))</f>
        <v>0.24467851227398138</v>
      </c>
      <c r="D577" s="112">
        <v>0.24650639143560488</v>
      </c>
      <c r="E577" s="112">
        <v>0.2331610801857773</v>
      </c>
      <c r="F577" s="112">
        <v>0.31185558242591666</v>
      </c>
      <c r="G577" s="112">
        <v>0.31116106678652117</v>
      </c>
      <c r="H577" s="112" t="str">
        <f t="shared" si="122"/>
        <v/>
      </c>
      <c r="I577" s="112" t="str">
        <f t="shared" si="122"/>
        <v/>
      </c>
      <c r="J577" s="112" t="str">
        <f t="shared" si="122"/>
        <v/>
      </c>
      <c r="K577" s="112" t="str">
        <f t="shared" si="122"/>
        <v/>
      </c>
      <c r="L577" s="112" t="str">
        <f t="shared" si="122"/>
        <v/>
      </c>
      <c r="M577" s="112" t="str">
        <f t="shared" si="122"/>
        <v/>
      </c>
      <c r="N577" s="112" t="str">
        <f t="shared" si="122"/>
        <v/>
      </c>
      <c r="O577" s="112">
        <f t="shared" si="122"/>
        <v>0.27407470444900534</v>
      </c>
    </row>
    <row r="578" spans="1:15" ht="16.5" customHeight="1" x14ac:dyDescent="0.15">
      <c r="A578" s="251"/>
      <c r="B578" s="164" t="s">
        <v>21</v>
      </c>
      <c r="C578" s="102">
        <v>1826995</v>
      </c>
      <c r="D578" s="102">
        <v>1871500</v>
      </c>
      <c r="E578" s="102">
        <v>1981275</v>
      </c>
      <c r="F578" s="102">
        <v>2446585</v>
      </c>
      <c r="G578" s="102">
        <v>1398962</v>
      </c>
      <c r="H578" s="102"/>
      <c r="I578" s="102"/>
      <c r="J578" s="102"/>
      <c r="K578" s="102"/>
      <c r="L578" s="102"/>
      <c r="M578" s="102"/>
      <c r="N578" s="102"/>
      <c r="O578" s="103">
        <f>SUM(C578:N578)</f>
        <v>9525317</v>
      </c>
    </row>
    <row r="579" spans="1:15" ht="16.5" customHeight="1" x14ac:dyDescent="0.15">
      <c r="A579" s="247"/>
      <c r="B579" s="166" t="s">
        <v>155</v>
      </c>
      <c r="C579" s="105">
        <v>830250</v>
      </c>
      <c r="D579" s="105">
        <v>1107250</v>
      </c>
      <c r="E579" s="105">
        <v>1173675</v>
      </c>
      <c r="F579" s="105">
        <v>1237800</v>
      </c>
      <c r="G579" s="105">
        <v>845325</v>
      </c>
      <c r="H579" s="105"/>
      <c r="I579" s="105"/>
      <c r="J579" s="105"/>
      <c r="K579" s="105"/>
      <c r="L579" s="105"/>
      <c r="M579" s="105"/>
      <c r="N579" s="105"/>
      <c r="O579" s="105">
        <f t="shared" ref="O579:O589" si="123">SUM(C579:N579)</f>
        <v>5194300</v>
      </c>
    </row>
    <row r="580" spans="1:15" ht="16.5" customHeight="1" x14ac:dyDescent="0.15">
      <c r="A580" s="247"/>
      <c r="B580" s="166" t="s">
        <v>156</v>
      </c>
      <c r="C580" s="105">
        <v>0</v>
      </c>
      <c r="D580" s="105">
        <v>0</v>
      </c>
      <c r="E580" s="105">
        <v>0</v>
      </c>
      <c r="F580" s="105">
        <v>0</v>
      </c>
      <c r="G580" s="105">
        <v>0</v>
      </c>
      <c r="H580" s="105"/>
      <c r="I580" s="105"/>
      <c r="J580" s="105"/>
      <c r="K580" s="105"/>
      <c r="L580" s="105"/>
      <c r="M580" s="105"/>
      <c r="N580" s="105"/>
      <c r="O580" s="105">
        <f t="shared" si="123"/>
        <v>0</v>
      </c>
    </row>
    <row r="581" spans="1:15" ht="16.5" customHeight="1" x14ac:dyDescent="0.15">
      <c r="A581" s="247"/>
      <c r="B581" s="166" t="s">
        <v>26</v>
      </c>
      <c r="C581" s="105">
        <v>21780</v>
      </c>
      <c r="D581" s="105">
        <v>37760</v>
      </c>
      <c r="E581" s="105">
        <v>36920</v>
      </c>
      <c r="F581" s="105">
        <v>39260</v>
      </c>
      <c r="G581" s="105">
        <v>37340</v>
      </c>
      <c r="H581" s="105"/>
      <c r="I581" s="105"/>
      <c r="J581" s="105"/>
      <c r="K581" s="105"/>
      <c r="L581" s="105"/>
      <c r="M581" s="105"/>
      <c r="N581" s="105"/>
      <c r="O581" s="105">
        <f t="shared" si="123"/>
        <v>173060</v>
      </c>
    </row>
    <row r="582" spans="1:15" ht="16.5" customHeight="1" x14ac:dyDescent="0.15">
      <c r="A582" s="247"/>
      <c r="B582" s="166" t="s">
        <v>66</v>
      </c>
      <c r="C582" s="106">
        <v>0</v>
      </c>
      <c r="D582" s="105">
        <v>0</v>
      </c>
      <c r="E582" s="105">
        <v>0</v>
      </c>
      <c r="F582" s="105">
        <v>0</v>
      </c>
      <c r="G582" s="105">
        <v>0</v>
      </c>
      <c r="H582" s="105"/>
      <c r="I582" s="106"/>
      <c r="J582" s="106"/>
      <c r="K582" s="106"/>
      <c r="L582" s="106"/>
      <c r="M582" s="106"/>
      <c r="N582" s="106"/>
      <c r="O582" s="105">
        <f t="shared" si="123"/>
        <v>0</v>
      </c>
    </row>
    <row r="583" spans="1:15" ht="16.5" customHeight="1" x14ac:dyDescent="0.15">
      <c r="A583" s="247"/>
      <c r="B583" s="166" t="s">
        <v>22</v>
      </c>
      <c r="C583" s="105">
        <v>46679</v>
      </c>
      <c r="D583" s="105">
        <v>32796</v>
      </c>
      <c r="E583" s="105">
        <v>32796</v>
      </c>
      <c r="F583" s="105">
        <v>64184</v>
      </c>
      <c r="G583" s="105">
        <v>47082</v>
      </c>
      <c r="H583" s="105"/>
      <c r="I583" s="105"/>
      <c r="J583" s="105"/>
      <c r="K583" s="105"/>
      <c r="L583" s="105"/>
      <c r="M583" s="105"/>
      <c r="N583" s="105"/>
      <c r="O583" s="105">
        <f t="shared" si="123"/>
        <v>223537</v>
      </c>
    </row>
    <row r="584" spans="1:15" ht="16.5" customHeight="1" x14ac:dyDescent="0.15">
      <c r="A584" s="247"/>
      <c r="B584" s="166" t="s">
        <v>67</v>
      </c>
      <c r="C584" s="105">
        <v>7189</v>
      </c>
      <c r="D584" s="105">
        <v>3734</v>
      </c>
      <c r="E584" s="105">
        <v>3734</v>
      </c>
      <c r="F584" s="105">
        <v>7251</v>
      </c>
      <c r="G584" s="105">
        <v>4617</v>
      </c>
      <c r="H584" s="105"/>
      <c r="I584" s="105"/>
      <c r="J584" s="105"/>
      <c r="K584" s="105"/>
      <c r="L584" s="105"/>
      <c r="M584" s="105"/>
      <c r="N584" s="105"/>
      <c r="O584" s="105">
        <f t="shared" si="123"/>
        <v>26525</v>
      </c>
    </row>
    <row r="585" spans="1:15" ht="16.5" customHeight="1" x14ac:dyDescent="0.15">
      <c r="A585" s="247"/>
      <c r="B585" s="166" t="s">
        <v>23</v>
      </c>
      <c r="C585" s="105">
        <v>77794</v>
      </c>
      <c r="D585" s="105">
        <v>54657</v>
      </c>
      <c r="E585" s="105">
        <v>54657</v>
      </c>
      <c r="F585" s="105">
        <v>106967</v>
      </c>
      <c r="G585" s="105">
        <v>78465</v>
      </c>
      <c r="H585" s="105"/>
      <c r="I585" s="105"/>
      <c r="J585" s="105"/>
      <c r="K585" s="105"/>
      <c r="L585" s="105"/>
      <c r="M585" s="105"/>
      <c r="N585" s="105"/>
      <c r="O585" s="105">
        <f t="shared" si="123"/>
        <v>372540</v>
      </c>
    </row>
    <row r="586" spans="1:15" ht="16.5" customHeight="1" x14ac:dyDescent="0.15">
      <c r="A586" s="247"/>
      <c r="B586" s="166" t="s">
        <v>157</v>
      </c>
      <c r="C586" s="105">
        <v>6744</v>
      </c>
      <c r="D586" s="105">
        <v>9731</v>
      </c>
      <c r="E586" s="105">
        <v>10289</v>
      </c>
      <c r="F586" s="105">
        <v>10852</v>
      </c>
      <c r="G586" s="105">
        <v>7505</v>
      </c>
      <c r="H586" s="105"/>
      <c r="I586" s="105"/>
      <c r="J586" s="105"/>
      <c r="K586" s="105"/>
      <c r="L586" s="105"/>
      <c r="M586" s="105"/>
      <c r="N586" s="105"/>
      <c r="O586" s="105">
        <f t="shared" si="123"/>
        <v>45121</v>
      </c>
    </row>
    <row r="587" spans="1:15" ht="16.5" customHeight="1" x14ac:dyDescent="0.15">
      <c r="A587" s="247"/>
      <c r="B587" s="166" t="s">
        <v>158</v>
      </c>
      <c r="C587" s="105">
        <v>852030</v>
      </c>
      <c r="D587" s="105">
        <v>1145010</v>
      </c>
      <c r="E587" s="105">
        <v>1210595</v>
      </c>
      <c r="F587" s="105">
        <v>1277060</v>
      </c>
      <c r="G587" s="105">
        <v>882665</v>
      </c>
      <c r="H587" s="105"/>
      <c r="I587" s="105"/>
      <c r="J587" s="105"/>
      <c r="K587" s="105"/>
      <c r="L587" s="105"/>
      <c r="M587" s="105"/>
      <c r="N587" s="105"/>
      <c r="O587" s="105">
        <f t="shared" si="123"/>
        <v>5367360</v>
      </c>
    </row>
    <row r="588" spans="1:15" ht="16.5" customHeight="1" x14ac:dyDescent="0.15">
      <c r="A588" s="247"/>
      <c r="B588" s="171"/>
      <c r="C588" s="107"/>
      <c r="D588" s="107">
        <v>8</v>
      </c>
      <c r="E588" s="107">
        <v>8</v>
      </c>
      <c r="F588" s="107">
        <v>8</v>
      </c>
      <c r="G588" s="107">
        <v>6</v>
      </c>
      <c r="H588" s="107"/>
      <c r="I588" s="107"/>
      <c r="J588" s="107"/>
      <c r="K588" s="107"/>
      <c r="L588" s="107"/>
      <c r="M588" s="107"/>
      <c r="N588" s="107"/>
      <c r="O588" s="107"/>
    </row>
    <row r="589" spans="1:15" ht="16.5" customHeight="1" thickBot="1" x14ac:dyDescent="0.2">
      <c r="A589" s="247"/>
      <c r="B589" s="171" t="s">
        <v>171</v>
      </c>
      <c r="C589" s="107">
        <v>7</v>
      </c>
      <c r="D589" s="107">
        <v>0</v>
      </c>
      <c r="E589" s="107">
        <v>0</v>
      </c>
      <c r="F589" s="107">
        <v>0</v>
      </c>
      <c r="G589" s="107">
        <v>0</v>
      </c>
      <c r="H589" s="107"/>
      <c r="I589" s="107"/>
      <c r="J589" s="107"/>
      <c r="K589" s="107"/>
      <c r="L589" s="107"/>
      <c r="M589" s="107"/>
      <c r="N589" s="107"/>
      <c r="O589" s="168">
        <f t="shared" si="123"/>
        <v>7</v>
      </c>
    </row>
    <row r="590" spans="1:15" ht="16.5" customHeight="1" thickTop="1" x14ac:dyDescent="0.15">
      <c r="A590" s="247"/>
      <c r="B590" s="169" t="s">
        <v>159</v>
      </c>
      <c r="C590" s="110">
        <f>IF(C578="","",C578-SUM(C579:C586))</f>
        <v>836559</v>
      </c>
      <c r="D590" s="110">
        <v>625572</v>
      </c>
      <c r="E590" s="110">
        <v>669204</v>
      </c>
      <c r="F590" s="110">
        <v>980271</v>
      </c>
      <c r="G590" s="110">
        <v>378628</v>
      </c>
      <c r="H590" s="110" t="str">
        <f t="shared" ref="H590:M590" si="124">IF(H578="","",H578-SUM(H579:H586))</f>
        <v/>
      </c>
      <c r="I590" s="110" t="str">
        <f t="shared" si="124"/>
        <v/>
      </c>
      <c r="J590" s="110" t="str">
        <f t="shared" si="124"/>
        <v/>
      </c>
      <c r="K590" s="110" t="str">
        <f t="shared" si="124"/>
        <v/>
      </c>
      <c r="L590" s="110" t="str">
        <f t="shared" si="124"/>
        <v/>
      </c>
      <c r="M590" s="110" t="str">
        <f t="shared" si="124"/>
        <v/>
      </c>
      <c r="N590" s="110" t="str">
        <f>IF(N578="","",N578-SUM(N579:N586))</f>
        <v/>
      </c>
      <c r="O590" s="110">
        <f>IF(O578="","",O578-SUM(O579:O586))</f>
        <v>3490234</v>
      </c>
    </row>
    <row r="591" spans="1:15" ht="16.5" customHeight="1" thickBot="1" x14ac:dyDescent="0.2">
      <c r="A591" s="248"/>
      <c r="B591" s="170" t="s">
        <v>160</v>
      </c>
      <c r="C591" s="112">
        <f t="shared" ref="C591:O591" si="125">IF(C578="","",IF(C578=0,"―     ",C590/C578))</f>
        <v>0.45788795262165466</v>
      </c>
      <c r="D591" s="112">
        <v>0.33426235639861074</v>
      </c>
      <c r="E591" s="112">
        <v>0.33776431843131316</v>
      </c>
      <c r="F591" s="112">
        <v>0.40066909590306488</v>
      </c>
      <c r="G591" s="112">
        <v>0.27064923850683581</v>
      </c>
      <c r="H591" s="112" t="str">
        <f t="shared" si="125"/>
        <v/>
      </c>
      <c r="I591" s="112" t="str">
        <f t="shared" si="125"/>
        <v/>
      </c>
      <c r="J591" s="112" t="str">
        <f t="shared" si="125"/>
        <v/>
      </c>
      <c r="K591" s="112" t="str">
        <f t="shared" si="125"/>
        <v/>
      </c>
      <c r="L591" s="112" t="str">
        <f t="shared" si="125"/>
        <v/>
      </c>
      <c r="M591" s="112" t="str">
        <f t="shared" si="125"/>
        <v/>
      </c>
      <c r="N591" s="112" t="str">
        <f t="shared" si="125"/>
        <v/>
      </c>
      <c r="O591" s="112">
        <f t="shared" si="125"/>
        <v>0.36641657175294007</v>
      </c>
    </row>
    <row r="592" spans="1:15" ht="16.5" customHeight="1" x14ac:dyDescent="0.15">
      <c r="A592" s="251"/>
      <c r="B592" s="164" t="s">
        <v>21</v>
      </c>
      <c r="C592" s="102">
        <v>560560</v>
      </c>
      <c r="D592" s="102">
        <v>590590</v>
      </c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3">
        <f>SUM(C592:N592)</f>
        <v>1151150</v>
      </c>
    </row>
    <row r="593" spans="1:15" ht="16.5" customHeight="1" x14ac:dyDescent="0.15">
      <c r="A593" s="247"/>
      <c r="B593" s="166" t="s">
        <v>155</v>
      </c>
      <c r="C593" s="105">
        <v>352800</v>
      </c>
      <c r="D593" s="105">
        <v>378000</v>
      </c>
      <c r="E593" s="105"/>
      <c r="F593" s="105"/>
      <c r="G593" s="105"/>
      <c r="H593" s="105"/>
      <c r="I593" s="105"/>
      <c r="J593" s="105"/>
      <c r="K593" s="105"/>
      <c r="L593" s="105"/>
      <c r="M593" s="105"/>
      <c r="N593" s="105"/>
      <c r="O593" s="105">
        <f t="shared" ref="O593:O603" si="126">SUM(C593:N593)</f>
        <v>730800</v>
      </c>
    </row>
    <row r="594" spans="1:15" ht="16.5" customHeight="1" x14ac:dyDescent="0.15">
      <c r="A594" s="247"/>
      <c r="B594" s="166" t="s">
        <v>156</v>
      </c>
      <c r="C594" s="105">
        <v>0</v>
      </c>
      <c r="D594" s="105">
        <v>0</v>
      </c>
      <c r="E594" s="105"/>
      <c r="F594" s="105"/>
      <c r="G594" s="105"/>
      <c r="H594" s="105"/>
      <c r="I594" s="105"/>
      <c r="J594" s="105"/>
      <c r="K594" s="105"/>
      <c r="L594" s="105"/>
      <c r="M594" s="105"/>
      <c r="N594" s="105"/>
      <c r="O594" s="105">
        <f t="shared" si="126"/>
        <v>0</v>
      </c>
    </row>
    <row r="595" spans="1:15" ht="16.5" customHeight="1" x14ac:dyDescent="0.15">
      <c r="A595" s="247"/>
      <c r="B595" s="166" t="s">
        <v>26</v>
      </c>
      <c r="C595" s="105">
        <v>8110</v>
      </c>
      <c r="D595" s="105">
        <v>8700</v>
      </c>
      <c r="E595" s="105"/>
      <c r="F595" s="105"/>
      <c r="G595" s="105"/>
      <c r="H595" s="105"/>
      <c r="I595" s="105"/>
      <c r="J595" s="105"/>
      <c r="K595" s="105"/>
      <c r="L595" s="105"/>
      <c r="M595" s="105"/>
      <c r="N595" s="105"/>
      <c r="O595" s="105">
        <f t="shared" si="126"/>
        <v>16810</v>
      </c>
    </row>
    <row r="596" spans="1:15" ht="16.5" customHeight="1" x14ac:dyDescent="0.15">
      <c r="A596" s="247"/>
      <c r="B596" s="166" t="s">
        <v>66</v>
      </c>
      <c r="C596" s="106">
        <v>0</v>
      </c>
      <c r="D596" s="105">
        <v>0</v>
      </c>
      <c r="E596" s="105"/>
      <c r="F596" s="105"/>
      <c r="G596" s="105"/>
      <c r="H596" s="105"/>
      <c r="I596" s="106"/>
      <c r="J596" s="106"/>
      <c r="K596" s="106"/>
      <c r="L596" s="106"/>
      <c r="M596" s="106"/>
      <c r="N596" s="106"/>
      <c r="O596" s="105">
        <f t="shared" si="126"/>
        <v>0</v>
      </c>
    </row>
    <row r="597" spans="1:15" ht="16.5" customHeight="1" x14ac:dyDescent="0.15">
      <c r="A597" s="247"/>
      <c r="B597" s="166" t="s">
        <v>22</v>
      </c>
      <c r="C597" s="105">
        <v>19818</v>
      </c>
      <c r="D597" s="105">
        <v>19818</v>
      </c>
      <c r="E597" s="105"/>
      <c r="F597" s="105"/>
      <c r="G597" s="105"/>
      <c r="H597" s="105"/>
      <c r="I597" s="105"/>
      <c r="J597" s="105"/>
      <c r="K597" s="105"/>
      <c r="L597" s="105"/>
      <c r="M597" s="105"/>
      <c r="N597" s="105"/>
      <c r="O597" s="105">
        <f t="shared" si="126"/>
        <v>39636</v>
      </c>
    </row>
    <row r="598" spans="1:15" ht="16.5" customHeight="1" x14ac:dyDescent="0.15">
      <c r="A598" s="247"/>
      <c r="B598" s="166" t="s">
        <v>67</v>
      </c>
      <c r="C598" s="105">
        <v>3052</v>
      </c>
      <c r="D598" s="105">
        <v>3052</v>
      </c>
      <c r="E598" s="105"/>
      <c r="F598" s="105"/>
      <c r="G598" s="105"/>
      <c r="H598" s="105"/>
      <c r="I598" s="105"/>
      <c r="J598" s="105"/>
      <c r="K598" s="105"/>
      <c r="L598" s="105"/>
      <c r="M598" s="105"/>
      <c r="N598" s="105"/>
      <c r="O598" s="105">
        <f t="shared" si="126"/>
        <v>6104</v>
      </c>
    </row>
    <row r="599" spans="1:15" ht="16.5" customHeight="1" x14ac:dyDescent="0.15">
      <c r="A599" s="247"/>
      <c r="B599" s="166" t="s">
        <v>23</v>
      </c>
      <c r="C599" s="105">
        <v>33029</v>
      </c>
      <c r="D599" s="105">
        <v>33029</v>
      </c>
      <c r="E599" s="105"/>
      <c r="F599" s="105"/>
      <c r="G599" s="105"/>
      <c r="H599" s="105"/>
      <c r="I599" s="105"/>
      <c r="J599" s="105"/>
      <c r="K599" s="105"/>
      <c r="L599" s="105"/>
      <c r="M599" s="105"/>
      <c r="N599" s="105"/>
      <c r="O599" s="105">
        <f t="shared" si="126"/>
        <v>66058</v>
      </c>
    </row>
    <row r="600" spans="1:15" ht="16.5" customHeight="1" x14ac:dyDescent="0.15">
      <c r="A600" s="247"/>
      <c r="B600" s="166" t="s">
        <v>157</v>
      </c>
      <c r="C600" s="105">
        <v>2857</v>
      </c>
      <c r="D600" s="105">
        <v>3286</v>
      </c>
      <c r="E600" s="105"/>
      <c r="F600" s="105"/>
      <c r="G600" s="105"/>
      <c r="H600" s="105"/>
      <c r="I600" s="105"/>
      <c r="J600" s="105"/>
      <c r="K600" s="105"/>
      <c r="L600" s="105"/>
      <c r="M600" s="105"/>
      <c r="N600" s="105"/>
      <c r="O600" s="105">
        <f t="shared" si="126"/>
        <v>6143</v>
      </c>
    </row>
    <row r="601" spans="1:15" ht="16.5" customHeight="1" x14ac:dyDescent="0.15">
      <c r="A601" s="247"/>
      <c r="B601" s="166" t="s">
        <v>158</v>
      </c>
      <c r="C601" s="105">
        <v>360910</v>
      </c>
      <c r="D601" s="105">
        <v>386700</v>
      </c>
      <c r="E601" s="105"/>
      <c r="F601" s="105"/>
      <c r="G601" s="105"/>
      <c r="H601" s="105"/>
      <c r="I601" s="105"/>
      <c r="J601" s="105"/>
      <c r="K601" s="105"/>
      <c r="L601" s="105"/>
      <c r="M601" s="105"/>
      <c r="N601" s="105"/>
      <c r="O601" s="105">
        <f t="shared" si="126"/>
        <v>747610</v>
      </c>
    </row>
    <row r="602" spans="1:15" ht="16.5" customHeight="1" x14ac:dyDescent="0.15">
      <c r="A602" s="247"/>
      <c r="B602" s="171"/>
      <c r="C602" s="107"/>
      <c r="D602" s="107">
        <v>3</v>
      </c>
      <c r="E602" s="107"/>
      <c r="F602" s="107"/>
      <c r="G602" s="107"/>
      <c r="H602" s="107"/>
      <c r="I602" s="107"/>
      <c r="J602" s="107"/>
      <c r="K602" s="107"/>
      <c r="L602" s="107"/>
      <c r="M602" s="107"/>
      <c r="N602" s="107"/>
      <c r="O602" s="107"/>
    </row>
    <row r="603" spans="1:15" ht="16.5" customHeight="1" thickBot="1" x14ac:dyDescent="0.2">
      <c r="A603" s="247"/>
      <c r="B603" s="171" t="s">
        <v>171</v>
      </c>
      <c r="C603" s="107">
        <v>0</v>
      </c>
      <c r="D603" s="107">
        <v>1</v>
      </c>
      <c r="E603" s="107"/>
      <c r="F603" s="107"/>
      <c r="G603" s="107"/>
      <c r="H603" s="107"/>
      <c r="I603" s="107"/>
      <c r="J603" s="107"/>
      <c r="K603" s="107"/>
      <c r="L603" s="107"/>
      <c r="M603" s="107"/>
      <c r="N603" s="107"/>
      <c r="O603" s="168">
        <f t="shared" si="126"/>
        <v>1</v>
      </c>
    </row>
    <row r="604" spans="1:15" ht="16.5" customHeight="1" thickTop="1" x14ac:dyDescent="0.15">
      <c r="A604" s="247"/>
      <c r="B604" s="169" t="s">
        <v>159</v>
      </c>
      <c r="C604" s="110">
        <f>IF(C592="","",C592-SUM(C593:C600))</f>
        <v>140894</v>
      </c>
      <c r="D604" s="110">
        <v>144705</v>
      </c>
      <c r="E604" s="110" t="s">
        <v>181</v>
      </c>
      <c r="F604" s="110" t="s">
        <v>181</v>
      </c>
      <c r="G604" s="110" t="s">
        <v>181</v>
      </c>
      <c r="H604" s="110" t="str">
        <f t="shared" ref="H604:M604" si="127">IF(H592="","",H592-SUM(H593:H600))</f>
        <v/>
      </c>
      <c r="I604" s="110" t="str">
        <f t="shared" si="127"/>
        <v/>
      </c>
      <c r="J604" s="110" t="str">
        <f t="shared" si="127"/>
        <v/>
      </c>
      <c r="K604" s="110" t="str">
        <f t="shared" si="127"/>
        <v/>
      </c>
      <c r="L604" s="110" t="str">
        <f t="shared" si="127"/>
        <v/>
      </c>
      <c r="M604" s="110" t="str">
        <f t="shared" si="127"/>
        <v/>
      </c>
      <c r="N604" s="110" t="str">
        <f>IF(N592="","",N592-SUM(N593:N600))</f>
        <v/>
      </c>
      <c r="O604" s="110">
        <f>IF(O592="","",O592-SUM(O593:O600))</f>
        <v>285599</v>
      </c>
    </row>
    <row r="605" spans="1:15" ht="16.5" customHeight="1" thickBot="1" x14ac:dyDescent="0.2">
      <c r="A605" s="248"/>
      <c r="B605" s="170" t="s">
        <v>160</v>
      </c>
      <c r="C605" s="112">
        <f t="shared" ref="C605:O605" si="128">IF(C592="","",IF(C592=0,"―     ",C604/C592))</f>
        <v>0.25134508348794066</v>
      </c>
      <c r="D605" s="112">
        <v>0.24501769417023656</v>
      </c>
      <c r="E605" s="112" t="s">
        <v>181</v>
      </c>
      <c r="F605" s="112" t="s">
        <v>181</v>
      </c>
      <c r="G605" s="112" t="s">
        <v>181</v>
      </c>
      <c r="H605" s="112" t="str">
        <f t="shared" si="128"/>
        <v/>
      </c>
      <c r="I605" s="112" t="str">
        <f t="shared" si="128"/>
        <v/>
      </c>
      <c r="J605" s="112" t="str">
        <f t="shared" si="128"/>
        <v/>
      </c>
      <c r="K605" s="112" t="str">
        <f t="shared" si="128"/>
        <v/>
      </c>
      <c r="L605" s="112" t="str">
        <f t="shared" si="128"/>
        <v/>
      </c>
      <c r="M605" s="112" t="str">
        <f t="shared" si="128"/>
        <v/>
      </c>
      <c r="N605" s="112" t="str">
        <f t="shared" si="128"/>
        <v/>
      </c>
      <c r="O605" s="112">
        <f t="shared" si="128"/>
        <v>0.24809885766407505</v>
      </c>
    </row>
    <row r="606" spans="1:15" ht="16.5" customHeight="1" x14ac:dyDescent="0.15">
      <c r="A606" s="251"/>
      <c r="B606" s="164" t="s">
        <v>21</v>
      </c>
      <c r="C606" s="102">
        <v>619162</v>
      </c>
      <c r="D606" s="102">
        <v>619161</v>
      </c>
      <c r="E606" s="102">
        <v>664762</v>
      </c>
      <c r="F606" s="102">
        <v>657637</v>
      </c>
      <c r="G606" s="102">
        <v>621893</v>
      </c>
      <c r="H606" s="102"/>
      <c r="I606" s="102"/>
      <c r="J606" s="102"/>
      <c r="K606" s="102"/>
      <c r="L606" s="102"/>
      <c r="M606" s="102"/>
      <c r="N606" s="102"/>
      <c r="O606" s="103">
        <f>SUM(C606:N606)</f>
        <v>3182615</v>
      </c>
    </row>
    <row r="607" spans="1:15" ht="16.5" customHeight="1" x14ac:dyDescent="0.15">
      <c r="A607" s="247"/>
      <c r="B607" s="166" t="s">
        <v>155</v>
      </c>
      <c r="C607" s="105">
        <v>395200</v>
      </c>
      <c r="D607" s="105">
        <v>416000</v>
      </c>
      <c r="E607" s="105">
        <v>436800</v>
      </c>
      <c r="F607" s="105">
        <v>436800</v>
      </c>
      <c r="G607" s="105">
        <v>416000</v>
      </c>
      <c r="H607" s="105"/>
      <c r="I607" s="105"/>
      <c r="J607" s="105"/>
      <c r="K607" s="105"/>
      <c r="L607" s="105"/>
      <c r="M607" s="105"/>
      <c r="N607" s="105"/>
      <c r="O607" s="105">
        <f t="shared" ref="O607:O617" si="129">SUM(C607:N607)</f>
        <v>2100800</v>
      </c>
    </row>
    <row r="608" spans="1:15" ht="16.5" customHeight="1" x14ac:dyDescent="0.15">
      <c r="A608" s="247"/>
      <c r="B608" s="166" t="s">
        <v>156</v>
      </c>
      <c r="C608" s="105">
        <v>0</v>
      </c>
      <c r="D608" s="105">
        <v>0</v>
      </c>
      <c r="E608" s="105">
        <v>0</v>
      </c>
      <c r="F608" s="105">
        <v>0</v>
      </c>
      <c r="G608" s="105">
        <v>0</v>
      </c>
      <c r="H608" s="105"/>
      <c r="I608" s="105"/>
      <c r="J608" s="105"/>
      <c r="K608" s="105"/>
      <c r="L608" s="105"/>
      <c r="M608" s="105"/>
      <c r="N608" s="105"/>
      <c r="O608" s="105">
        <f t="shared" si="129"/>
        <v>0</v>
      </c>
    </row>
    <row r="609" spans="1:15" ht="16.5" customHeight="1" x14ac:dyDescent="0.15">
      <c r="A609" s="247"/>
      <c r="B609" s="166" t="s">
        <v>26</v>
      </c>
      <c r="C609" s="105">
        <v>19760</v>
      </c>
      <c r="D609" s="105">
        <v>19760</v>
      </c>
      <c r="E609" s="105">
        <v>21320</v>
      </c>
      <c r="F609" s="105">
        <v>21320</v>
      </c>
      <c r="G609" s="105">
        <v>20280</v>
      </c>
      <c r="H609" s="105"/>
      <c r="I609" s="105"/>
      <c r="J609" s="105"/>
      <c r="K609" s="105"/>
      <c r="L609" s="105"/>
      <c r="M609" s="105"/>
      <c r="N609" s="105"/>
      <c r="O609" s="105">
        <f t="shared" si="129"/>
        <v>102440</v>
      </c>
    </row>
    <row r="610" spans="1:15" ht="16.5" customHeight="1" x14ac:dyDescent="0.15">
      <c r="A610" s="247"/>
      <c r="B610" s="166" t="s">
        <v>66</v>
      </c>
      <c r="C610" s="106">
        <v>28438</v>
      </c>
      <c r="D610" s="105">
        <v>28439</v>
      </c>
      <c r="E610" s="105">
        <v>28438</v>
      </c>
      <c r="F610" s="105">
        <v>23563</v>
      </c>
      <c r="G610" s="105">
        <v>19907</v>
      </c>
      <c r="H610" s="105"/>
      <c r="I610" s="106"/>
      <c r="J610" s="106"/>
      <c r="K610" s="106"/>
      <c r="L610" s="106"/>
      <c r="M610" s="106"/>
      <c r="N610" s="106"/>
      <c r="O610" s="105">
        <f t="shared" si="129"/>
        <v>128785</v>
      </c>
    </row>
    <row r="611" spans="1:15" ht="16.5" customHeight="1" x14ac:dyDescent="0.15">
      <c r="A611" s="247"/>
      <c r="B611" s="166" t="s">
        <v>22</v>
      </c>
      <c r="C611" s="105">
        <v>22132</v>
      </c>
      <c r="D611" s="105">
        <v>22132</v>
      </c>
      <c r="E611" s="105">
        <v>22132</v>
      </c>
      <c r="F611" s="105">
        <v>22132</v>
      </c>
      <c r="G611" s="105">
        <v>22132</v>
      </c>
      <c r="H611" s="105"/>
      <c r="I611" s="105"/>
      <c r="J611" s="105"/>
      <c r="K611" s="105"/>
      <c r="L611" s="105"/>
      <c r="M611" s="105"/>
      <c r="N611" s="105"/>
      <c r="O611" s="105">
        <f t="shared" si="129"/>
        <v>110660</v>
      </c>
    </row>
    <row r="612" spans="1:15" ht="16.5" customHeight="1" x14ac:dyDescent="0.15">
      <c r="A612" s="247"/>
      <c r="B612" s="166" t="s">
        <v>67</v>
      </c>
      <c r="C612" s="105">
        <v>3410</v>
      </c>
      <c r="D612" s="105">
        <v>3410</v>
      </c>
      <c r="E612" s="105">
        <v>3410</v>
      </c>
      <c r="F612" s="105">
        <v>3410</v>
      </c>
      <c r="G612" s="105">
        <v>3410</v>
      </c>
      <c r="H612" s="105"/>
      <c r="I612" s="105"/>
      <c r="J612" s="105"/>
      <c r="K612" s="105"/>
      <c r="L612" s="105"/>
      <c r="M612" s="105"/>
      <c r="N612" s="105"/>
      <c r="O612" s="105">
        <f t="shared" si="129"/>
        <v>17050</v>
      </c>
    </row>
    <row r="613" spans="1:15" ht="16.5" customHeight="1" x14ac:dyDescent="0.15">
      <c r="A613" s="247"/>
      <c r="B613" s="166" t="s">
        <v>23</v>
      </c>
      <c r="C613" s="105">
        <v>36886</v>
      </c>
      <c r="D613" s="105">
        <v>36886</v>
      </c>
      <c r="E613" s="105">
        <v>36886</v>
      </c>
      <c r="F613" s="105">
        <v>36886</v>
      </c>
      <c r="G613" s="105">
        <v>36886</v>
      </c>
      <c r="H613" s="105"/>
      <c r="I613" s="105"/>
      <c r="J613" s="105"/>
      <c r="K613" s="105"/>
      <c r="L613" s="105"/>
      <c r="M613" s="105"/>
      <c r="N613" s="105"/>
      <c r="O613" s="105">
        <f t="shared" si="129"/>
        <v>184430</v>
      </c>
    </row>
    <row r="614" spans="1:15" ht="16.5" customHeight="1" x14ac:dyDescent="0.15">
      <c r="A614" s="247"/>
      <c r="B614" s="166" t="s">
        <v>157</v>
      </c>
      <c r="C614" s="105">
        <v>3511</v>
      </c>
      <c r="D614" s="105">
        <v>3946</v>
      </c>
      <c r="E614" s="105">
        <v>4136</v>
      </c>
      <c r="F614" s="105">
        <v>4094</v>
      </c>
      <c r="G614" s="105">
        <v>3878</v>
      </c>
      <c r="H614" s="105"/>
      <c r="I614" s="105"/>
      <c r="J614" s="105"/>
      <c r="K614" s="105"/>
      <c r="L614" s="105"/>
      <c r="M614" s="105"/>
      <c r="N614" s="105"/>
      <c r="O614" s="105">
        <f t="shared" si="129"/>
        <v>19565</v>
      </c>
    </row>
    <row r="615" spans="1:15" ht="16.5" customHeight="1" x14ac:dyDescent="0.15">
      <c r="A615" s="247"/>
      <c r="B615" s="166" t="s">
        <v>158</v>
      </c>
      <c r="C615" s="105">
        <v>443398</v>
      </c>
      <c r="D615" s="105">
        <v>464199</v>
      </c>
      <c r="E615" s="105">
        <v>486558</v>
      </c>
      <c r="F615" s="105">
        <v>481683</v>
      </c>
      <c r="G615" s="105">
        <v>456187</v>
      </c>
      <c r="H615" s="105"/>
      <c r="I615" s="105"/>
      <c r="J615" s="105"/>
      <c r="K615" s="105"/>
      <c r="L615" s="105"/>
      <c r="M615" s="105"/>
      <c r="N615" s="105"/>
      <c r="O615" s="105">
        <f t="shared" si="129"/>
        <v>2332025</v>
      </c>
    </row>
    <row r="616" spans="1:15" ht="16.5" customHeight="1" x14ac:dyDescent="0.15">
      <c r="A616" s="247"/>
      <c r="B616" s="171"/>
      <c r="C616" s="107"/>
      <c r="D616" s="107">
        <v>2</v>
      </c>
      <c r="E616" s="107">
        <v>2</v>
      </c>
      <c r="F616" s="107">
        <v>2</v>
      </c>
      <c r="G616" s="107">
        <v>2</v>
      </c>
      <c r="H616" s="107"/>
      <c r="I616" s="107"/>
      <c r="J616" s="107"/>
      <c r="K616" s="107"/>
      <c r="L616" s="107"/>
      <c r="M616" s="107"/>
      <c r="N616" s="107"/>
      <c r="O616" s="107"/>
    </row>
    <row r="617" spans="1:15" ht="16.5" customHeight="1" thickBot="1" x14ac:dyDescent="0.2">
      <c r="A617" s="247"/>
      <c r="B617" s="171" t="s">
        <v>171</v>
      </c>
      <c r="C617" s="107">
        <v>0</v>
      </c>
      <c r="D617" s="107">
        <v>2</v>
      </c>
      <c r="E617" s="107">
        <v>1</v>
      </c>
      <c r="F617" s="107">
        <v>1</v>
      </c>
      <c r="G617" s="107">
        <v>1</v>
      </c>
      <c r="H617" s="107"/>
      <c r="I617" s="107"/>
      <c r="J617" s="107"/>
      <c r="K617" s="107"/>
      <c r="L617" s="107"/>
      <c r="M617" s="107"/>
      <c r="N617" s="107"/>
      <c r="O617" s="168">
        <f t="shared" si="129"/>
        <v>5</v>
      </c>
    </row>
    <row r="618" spans="1:15" ht="16.5" customHeight="1" thickTop="1" x14ac:dyDescent="0.15">
      <c r="A618" s="247"/>
      <c r="B618" s="169" t="s">
        <v>159</v>
      </c>
      <c r="C618" s="110">
        <f>IF(C606="","",C606-SUM(C607:C614))</f>
        <v>109825</v>
      </c>
      <c r="D618" s="110">
        <v>88588</v>
      </c>
      <c r="E618" s="110">
        <v>111640</v>
      </c>
      <c r="F618" s="110">
        <v>109432</v>
      </c>
      <c r="G618" s="110">
        <v>99400</v>
      </c>
      <c r="H618" s="110" t="str">
        <f t="shared" ref="H618:M618" si="130">IF(H606="","",H606-SUM(H607:H614))</f>
        <v/>
      </c>
      <c r="I618" s="110" t="str">
        <f t="shared" si="130"/>
        <v/>
      </c>
      <c r="J618" s="110" t="str">
        <f t="shared" si="130"/>
        <v/>
      </c>
      <c r="K618" s="110" t="str">
        <f t="shared" si="130"/>
        <v/>
      </c>
      <c r="L618" s="110" t="str">
        <f t="shared" si="130"/>
        <v/>
      </c>
      <c r="M618" s="110" t="str">
        <f t="shared" si="130"/>
        <v/>
      </c>
      <c r="N618" s="110" t="str">
        <f>IF(N606="","",N606-SUM(N607:N614))</f>
        <v/>
      </c>
      <c r="O618" s="110">
        <f>IF(O606="","",O606-SUM(O607:O614))</f>
        <v>518885</v>
      </c>
    </row>
    <row r="619" spans="1:15" ht="16.5" customHeight="1" thickBot="1" x14ac:dyDescent="0.2">
      <c r="A619" s="248"/>
      <c r="B619" s="170" t="s">
        <v>160</v>
      </c>
      <c r="C619" s="112">
        <f t="shared" ref="C619:O619" si="131">IF(C606="","",IF(C606=0,"―     ",C618/C606))</f>
        <v>0.17737684160203629</v>
      </c>
      <c r="D619" s="112">
        <v>0.14307748711562907</v>
      </c>
      <c r="E619" s="112">
        <v>0.16793980402008538</v>
      </c>
      <c r="F619" s="112">
        <v>0.16640182958075656</v>
      </c>
      <c r="G619" s="112">
        <v>0.15983456961245746</v>
      </c>
      <c r="H619" s="112" t="str">
        <f t="shared" si="131"/>
        <v/>
      </c>
      <c r="I619" s="112" t="str">
        <f t="shared" si="131"/>
        <v/>
      </c>
      <c r="J619" s="112" t="str">
        <f t="shared" si="131"/>
        <v/>
      </c>
      <c r="K619" s="112" t="str">
        <f t="shared" si="131"/>
        <v/>
      </c>
      <c r="L619" s="112" t="str">
        <f t="shared" si="131"/>
        <v/>
      </c>
      <c r="M619" s="112" t="str">
        <f t="shared" si="131"/>
        <v/>
      </c>
      <c r="N619" s="112" t="str">
        <f t="shared" si="131"/>
        <v/>
      </c>
      <c r="O619" s="112">
        <f t="shared" si="131"/>
        <v>0.16303731365559454</v>
      </c>
    </row>
    <row r="620" spans="1:15" ht="16.5" customHeight="1" x14ac:dyDescent="0.15">
      <c r="A620" s="251"/>
      <c r="B620" s="164" t="s">
        <v>21</v>
      </c>
      <c r="C620" s="102">
        <v>1765136</v>
      </c>
      <c r="D620" s="102">
        <v>1841872</v>
      </c>
      <c r="E620" s="102">
        <v>1777120</v>
      </c>
      <c r="F620" s="102">
        <v>1679072</v>
      </c>
      <c r="G620" s="102">
        <v>1661232</v>
      </c>
      <c r="H620" s="102"/>
      <c r="I620" s="102"/>
      <c r="J620" s="102"/>
      <c r="K620" s="102"/>
      <c r="L620" s="102"/>
      <c r="M620" s="102"/>
      <c r="N620" s="102"/>
      <c r="O620" s="103">
        <f>SUM(C620:N620)</f>
        <v>8724432</v>
      </c>
    </row>
    <row r="621" spans="1:15" ht="16.5" customHeight="1" x14ac:dyDescent="0.15">
      <c r="A621" s="247"/>
      <c r="B621" s="166" t="s">
        <v>155</v>
      </c>
      <c r="C621" s="105">
        <v>1121691</v>
      </c>
      <c r="D621" s="105">
        <v>1177366</v>
      </c>
      <c r="E621" s="105">
        <v>1119437</v>
      </c>
      <c r="F621" s="105">
        <v>1043120</v>
      </c>
      <c r="G621" s="105">
        <v>1039620</v>
      </c>
      <c r="H621" s="105"/>
      <c r="I621" s="105"/>
      <c r="J621" s="105"/>
      <c r="K621" s="105"/>
      <c r="L621" s="105"/>
      <c r="M621" s="105"/>
      <c r="N621" s="105"/>
      <c r="O621" s="105">
        <f t="shared" ref="O621:O631" si="132">SUM(C621:N621)</f>
        <v>5501234</v>
      </c>
    </row>
    <row r="622" spans="1:15" ht="16.5" customHeight="1" x14ac:dyDescent="0.15">
      <c r="A622" s="247"/>
      <c r="B622" s="166" t="s">
        <v>156</v>
      </c>
      <c r="C622" s="105">
        <v>0</v>
      </c>
      <c r="D622" s="105">
        <v>0</v>
      </c>
      <c r="E622" s="105">
        <v>0</v>
      </c>
      <c r="F622" s="105">
        <v>0</v>
      </c>
      <c r="G622" s="105">
        <v>0</v>
      </c>
      <c r="H622" s="105"/>
      <c r="I622" s="105"/>
      <c r="J622" s="105"/>
      <c r="K622" s="105"/>
      <c r="L622" s="105"/>
      <c r="M622" s="105"/>
      <c r="N622" s="105"/>
      <c r="O622" s="105">
        <f t="shared" si="132"/>
        <v>0</v>
      </c>
    </row>
    <row r="623" spans="1:15" ht="16.5" customHeight="1" x14ac:dyDescent="0.15">
      <c r="A623" s="247"/>
      <c r="B623" s="166" t="s">
        <v>26</v>
      </c>
      <c r="C623" s="105">
        <v>54580</v>
      </c>
      <c r="D623" s="105">
        <v>57490</v>
      </c>
      <c r="E623" s="105">
        <v>46650</v>
      </c>
      <c r="F623" s="105">
        <v>45660</v>
      </c>
      <c r="G623" s="105">
        <v>45840</v>
      </c>
      <c r="H623" s="105"/>
      <c r="I623" s="105"/>
      <c r="J623" s="105"/>
      <c r="K623" s="105"/>
      <c r="L623" s="105"/>
      <c r="M623" s="105"/>
      <c r="N623" s="105"/>
      <c r="O623" s="105">
        <f t="shared" si="132"/>
        <v>250220</v>
      </c>
    </row>
    <row r="624" spans="1:15" ht="16.5" customHeight="1" x14ac:dyDescent="0.15">
      <c r="A624" s="247"/>
      <c r="B624" s="166" t="s">
        <v>66</v>
      </c>
      <c r="C624" s="106">
        <v>0</v>
      </c>
      <c r="D624" s="105">
        <v>0</v>
      </c>
      <c r="E624" s="105">
        <v>0</v>
      </c>
      <c r="F624" s="105">
        <v>0</v>
      </c>
      <c r="G624" s="105">
        <v>0</v>
      </c>
      <c r="H624" s="105"/>
      <c r="I624" s="106"/>
      <c r="J624" s="106"/>
      <c r="K624" s="106"/>
      <c r="L624" s="106"/>
      <c r="M624" s="106"/>
      <c r="N624" s="106"/>
      <c r="O624" s="105">
        <f t="shared" si="132"/>
        <v>0</v>
      </c>
    </row>
    <row r="625" spans="1:15" ht="16.5" customHeight="1" x14ac:dyDescent="0.15">
      <c r="A625" s="247"/>
      <c r="B625" s="166" t="s">
        <v>22</v>
      </c>
      <c r="C625" s="105">
        <v>49797</v>
      </c>
      <c r="D625" s="105">
        <v>49797</v>
      </c>
      <c r="E625" s="105">
        <v>49797</v>
      </c>
      <c r="F625" s="105">
        <v>49797</v>
      </c>
      <c r="G625" s="105">
        <v>57845</v>
      </c>
      <c r="H625" s="105"/>
      <c r="I625" s="105"/>
      <c r="J625" s="105"/>
      <c r="K625" s="105"/>
      <c r="L625" s="105"/>
      <c r="M625" s="105"/>
      <c r="N625" s="105"/>
      <c r="O625" s="105">
        <f t="shared" si="132"/>
        <v>257033</v>
      </c>
    </row>
    <row r="626" spans="1:15" ht="16.5" customHeight="1" x14ac:dyDescent="0.15">
      <c r="A626" s="247"/>
      <c r="B626" s="166" t="s">
        <v>67</v>
      </c>
      <c r="C626" s="105">
        <v>5192</v>
      </c>
      <c r="D626" s="105">
        <v>5192</v>
      </c>
      <c r="E626" s="105">
        <v>6432</v>
      </c>
      <c r="F626" s="105">
        <v>6432</v>
      </c>
      <c r="G626" s="105">
        <v>7672</v>
      </c>
      <c r="H626" s="105"/>
      <c r="I626" s="105"/>
      <c r="J626" s="105"/>
      <c r="K626" s="105"/>
      <c r="L626" s="105"/>
      <c r="M626" s="105"/>
      <c r="N626" s="105"/>
      <c r="O626" s="105">
        <f t="shared" si="132"/>
        <v>30920</v>
      </c>
    </row>
    <row r="627" spans="1:15" ht="16.5" customHeight="1" x14ac:dyDescent="0.15">
      <c r="A627" s="247"/>
      <c r="B627" s="166" t="s">
        <v>23</v>
      </c>
      <c r="C627" s="105">
        <v>82992</v>
      </c>
      <c r="D627" s="105">
        <v>82992</v>
      </c>
      <c r="E627" s="105">
        <v>82992</v>
      </c>
      <c r="F627" s="105">
        <v>82992</v>
      </c>
      <c r="G627" s="105">
        <v>96405</v>
      </c>
      <c r="H627" s="105"/>
      <c r="I627" s="105"/>
      <c r="J627" s="105"/>
      <c r="K627" s="105"/>
      <c r="L627" s="105"/>
      <c r="M627" s="105"/>
      <c r="N627" s="105"/>
      <c r="O627" s="105">
        <f t="shared" si="132"/>
        <v>428373</v>
      </c>
    </row>
    <row r="628" spans="1:15" ht="16.5" customHeight="1" x14ac:dyDescent="0.15">
      <c r="A628" s="247"/>
      <c r="B628" s="166" t="s">
        <v>157</v>
      </c>
      <c r="C628" s="105">
        <v>9312</v>
      </c>
      <c r="D628" s="105">
        <v>10497</v>
      </c>
      <c r="E628" s="105">
        <v>9911</v>
      </c>
      <c r="F628" s="105">
        <v>9255</v>
      </c>
      <c r="G628" s="105">
        <v>9228</v>
      </c>
      <c r="H628" s="105"/>
      <c r="I628" s="105"/>
      <c r="J628" s="105"/>
      <c r="K628" s="105"/>
      <c r="L628" s="105"/>
      <c r="M628" s="105"/>
      <c r="N628" s="105"/>
      <c r="O628" s="105">
        <f t="shared" si="132"/>
        <v>48203</v>
      </c>
    </row>
    <row r="629" spans="1:15" ht="16.5" customHeight="1" x14ac:dyDescent="0.15">
      <c r="A629" s="247"/>
      <c r="B629" s="166" t="s">
        <v>158</v>
      </c>
      <c r="C629" s="105">
        <v>1176271</v>
      </c>
      <c r="D629" s="105">
        <v>1234856</v>
      </c>
      <c r="E629" s="105">
        <v>1166087</v>
      </c>
      <c r="F629" s="105">
        <v>1088780</v>
      </c>
      <c r="G629" s="105">
        <v>1085460</v>
      </c>
      <c r="H629" s="105"/>
      <c r="I629" s="105"/>
      <c r="J629" s="105"/>
      <c r="K629" s="105"/>
      <c r="L629" s="105"/>
      <c r="M629" s="105"/>
      <c r="N629" s="105"/>
      <c r="O629" s="105">
        <f t="shared" si="132"/>
        <v>5751454</v>
      </c>
    </row>
    <row r="630" spans="1:15" ht="16.5" customHeight="1" x14ac:dyDescent="0.15">
      <c r="A630" s="247"/>
      <c r="B630" s="171"/>
      <c r="C630" s="107"/>
      <c r="D630" s="107">
        <v>8</v>
      </c>
      <c r="E630" s="107">
        <v>7</v>
      </c>
      <c r="F630" s="107">
        <v>7</v>
      </c>
      <c r="G630" s="107">
        <v>7</v>
      </c>
      <c r="H630" s="107"/>
      <c r="I630" s="107"/>
      <c r="J630" s="107"/>
      <c r="K630" s="107"/>
      <c r="L630" s="107"/>
      <c r="M630" s="107"/>
      <c r="N630" s="107"/>
      <c r="O630" s="107"/>
    </row>
    <row r="631" spans="1:15" ht="16.5" customHeight="1" thickBot="1" x14ac:dyDescent="0.2">
      <c r="A631" s="247"/>
      <c r="B631" s="171" t="s">
        <v>171</v>
      </c>
      <c r="C631" s="107">
        <v>4</v>
      </c>
      <c r="D631" s="107">
        <v>5</v>
      </c>
      <c r="E631" s="107">
        <v>2</v>
      </c>
      <c r="F631" s="107">
        <v>0</v>
      </c>
      <c r="G631" s="107">
        <v>0</v>
      </c>
      <c r="H631" s="107"/>
      <c r="I631" s="107"/>
      <c r="J631" s="107"/>
      <c r="K631" s="107"/>
      <c r="L631" s="107"/>
      <c r="M631" s="107"/>
      <c r="N631" s="107"/>
      <c r="O631" s="168">
        <f t="shared" si="132"/>
        <v>11</v>
      </c>
    </row>
    <row r="632" spans="1:15" ht="16.5" customHeight="1" thickTop="1" x14ac:dyDescent="0.15">
      <c r="A632" s="247"/>
      <c r="B632" s="169" t="s">
        <v>159</v>
      </c>
      <c r="C632" s="110">
        <f>IF(C620="","",C620-SUM(C621:C628))</f>
        <v>441572</v>
      </c>
      <c r="D632" s="110">
        <v>458538</v>
      </c>
      <c r="E632" s="110">
        <v>461901</v>
      </c>
      <c r="F632" s="110">
        <v>441816</v>
      </c>
      <c r="G632" s="110">
        <v>404622</v>
      </c>
      <c r="H632" s="110" t="str">
        <f t="shared" ref="H632:M632" si="133">IF(H620="","",H620-SUM(H621:H628))</f>
        <v/>
      </c>
      <c r="I632" s="110" t="str">
        <f t="shared" si="133"/>
        <v/>
      </c>
      <c r="J632" s="110" t="str">
        <f t="shared" si="133"/>
        <v/>
      </c>
      <c r="K632" s="110" t="str">
        <f t="shared" si="133"/>
        <v/>
      </c>
      <c r="L632" s="110" t="str">
        <f t="shared" si="133"/>
        <v/>
      </c>
      <c r="M632" s="110" t="str">
        <f t="shared" si="133"/>
        <v/>
      </c>
      <c r="N632" s="110" t="str">
        <f>IF(N620="","",N620-SUM(N621:N628))</f>
        <v/>
      </c>
      <c r="O632" s="110">
        <f>IF(O620="","",O620-SUM(O621:O628))</f>
        <v>2208449</v>
      </c>
    </row>
    <row r="633" spans="1:15" ht="16.5" customHeight="1" thickBot="1" x14ac:dyDescent="0.2">
      <c r="A633" s="248"/>
      <c r="B633" s="170" t="s">
        <v>160</v>
      </c>
      <c r="C633" s="112">
        <f t="shared" ref="C633:O633" si="134">IF(C620="","",IF(C620=0,"―     ",C632/C620))</f>
        <v>0.2501631602324127</v>
      </c>
      <c r="D633" s="112">
        <v>0.24895215302692045</v>
      </c>
      <c r="E633" s="112">
        <v>0.25991548122805436</v>
      </c>
      <c r="F633" s="112">
        <v>0.26313106287282501</v>
      </c>
      <c r="G633" s="112">
        <v>0.24356742465832587</v>
      </c>
      <c r="H633" s="112" t="str">
        <f t="shared" si="134"/>
        <v/>
      </c>
      <c r="I633" s="112" t="str">
        <f t="shared" si="134"/>
        <v/>
      </c>
      <c r="J633" s="112" t="str">
        <f t="shared" si="134"/>
        <v/>
      </c>
      <c r="K633" s="112" t="str">
        <f t="shared" si="134"/>
        <v/>
      </c>
      <c r="L633" s="112" t="str">
        <f t="shared" si="134"/>
        <v/>
      </c>
      <c r="M633" s="112" t="str">
        <f t="shared" si="134"/>
        <v/>
      </c>
      <c r="N633" s="112" t="str">
        <f t="shared" si="134"/>
        <v/>
      </c>
      <c r="O633" s="112">
        <f t="shared" si="134"/>
        <v>0.25313384298255748</v>
      </c>
    </row>
    <row r="634" spans="1:15" ht="16.5" customHeight="1" x14ac:dyDescent="0.15">
      <c r="A634" s="251"/>
      <c r="B634" s="164" t="s">
        <v>21</v>
      </c>
      <c r="C634" s="102">
        <v>1959991</v>
      </c>
      <c r="D634" s="102">
        <v>2166861</v>
      </c>
      <c r="E634" s="102">
        <v>2080054</v>
      </c>
      <c r="F634" s="102">
        <v>2163779</v>
      </c>
      <c r="G634" s="102">
        <v>2157935</v>
      </c>
      <c r="H634" s="102"/>
      <c r="I634" s="102"/>
      <c r="J634" s="102"/>
      <c r="K634" s="102"/>
      <c r="L634" s="102"/>
      <c r="M634" s="102"/>
      <c r="N634" s="102"/>
      <c r="O634" s="103">
        <f>SUM(C634:N634)</f>
        <v>10528620</v>
      </c>
    </row>
    <row r="635" spans="1:15" ht="16.5" customHeight="1" x14ac:dyDescent="0.15">
      <c r="A635" s="247"/>
      <c r="B635" s="166" t="s">
        <v>155</v>
      </c>
      <c r="C635" s="105">
        <v>1139625</v>
      </c>
      <c r="D635" s="105">
        <v>1260500</v>
      </c>
      <c r="E635" s="105">
        <v>1226663</v>
      </c>
      <c r="F635" s="105">
        <v>1255650</v>
      </c>
      <c r="G635" s="105">
        <v>1243250</v>
      </c>
      <c r="H635" s="105"/>
      <c r="I635" s="105"/>
      <c r="J635" s="105"/>
      <c r="K635" s="105"/>
      <c r="L635" s="105"/>
      <c r="M635" s="105"/>
      <c r="N635" s="105"/>
      <c r="O635" s="105">
        <f t="shared" ref="O635:O645" si="135">SUM(C635:N635)</f>
        <v>6125688</v>
      </c>
    </row>
    <row r="636" spans="1:15" ht="16.5" customHeight="1" x14ac:dyDescent="0.15">
      <c r="A636" s="247"/>
      <c r="B636" s="166" t="s">
        <v>156</v>
      </c>
      <c r="C636" s="105">
        <v>0</v>
      </c>
      <c r="D636" s="105">
        <v>0</v>
      </c>
      <c r="E636" s="105">
        <v>0</v>
      </c>
      <c r="F636" s="105">
        <v>0</v>
      </c>
      <c r="G636" s="105">
        <v>0</v>
      </c>
      <c r="H636" s="105"/>
      <c r="I636" s="105"/>
      <c r="J636" s="105"/>
      <c r="K636" s="105"/>
      <c r="L636" s="105"/>
      <c r="M636" s="105"/>
      <c r="N636" s="105"/>
      <c r="O636" s="105">
        <f t="shared" si="135"/>
        <v>0</v>
      </c>
    </row>
    <row r="637" spans="1:15" ht="16.5" customHeight="1" x14ac:dyDescent="0.15">
      <c r="A637" s="247"/>
      <c r="B637" s="166" t="s">
        <v>26</v>
      </c>
      <c r="C637" s="105">
        <v>18310</v>
      </c>
      <c r="D637" s="105">
        <v>20320</v>
      </c>
      <c r="E637" s="105">
        <v>21450</v>
      </c>
      <c r="F637" s="105">
        <v>22750</v>
      </c>
      <c r="G637" s="105">
        <v>22850</v>
      </c>
      <c r="H637" s="105"/>
      <c r="I637" s="105"/>
      <c r="J637" s="105"/>
      <c r="K637" s="105"/>
      <c r="L637" s="105"/>
      <c r="M637" s="105"/>
      <c r="N637" s="105"/>
      <c r="O637" s="105">
        <f t="shared" si="135"/>
        <v>105680</v>
      </c>
    </row>
    <row r="638" spans="1:15" ht="16.5" customHeight="1" x14ac:dyDescent="0.15">
      <c r="A638" s="247"/>
      <c r="B638" s="166" t="s">
        <v>66</v>
      </c>
      <c r="C638" s="106">
        <v>5923</v>
      </c>
      <c r="D638" s="105">
        <v>21876</v>
      </c>
      <c r="E638" s="105">
        <v>6471</v>
      </c>
      <c r="F638" s="105">
        <v>24002</v>
      </c>
      <c r="G638" s="105">
        <v>49376</v>
      </c>
      <c r="H638" s="105"/>
      <c r="I638" s="106"/>
      <c r="J638" s="106"/>
      <c r="K638" s="106"/>
      <c r="L638" s="106"/>
      <c r="M638" s="106"/>
      <c r="N638" s="106"/>
      <c r="O638" s="105">
        <f t="shared" si="135"/>
        <v>107648</v>
      </c>
    </row>
    <row r="639" spans="1:15" ht="16.5" customHeight="1" x14ac:dyDescent="0.15">
      <c r="A639" s="247"/>
      <c r="B639" s="166" t="s">
        <v>22</v>
      </c>
      <c r="C639" s="105">
        <v>56839</v>
      </c>
      <c r="D639" s="105">
        <v>64887</v>
      </c>
      <c r="E639" s="105">
        <v>56839</v>
      </c>
      <c r="F639" s="105">
        <v>56839</v>
      </c>
      <c r="G639" s="105">
        <v>56839</v>
      </c>
      <c r="H639" s="105"/>
      <c r="I639" s="105"/>
      <c r="J639" s="105"/>
      <c r="K639" s="105"/>
      <c r="L639" s="105"/>
      <c r="M639" s="105"/>
      <c r="N639" s="105"/>
      <c r="O639" s="105">
        <f t="shared" si="135"/>
        <v>292243</v>
      </c>
    </row>
    <row r="640" spans="1:15" ht="16.5" customHeight="1" x14ac:dyDescent="0.15">
      <c r="A640" s="247"/>
      <c r="B640" s="166" t="s">
        <v>67</v>
      </c>
      <c r="C640" s="105">
        <v>6277</v>
      </c>
      <c r="D640" s="105">
        <v>7517</v>
      </c>
      <c r="E640" s="105">
        <v>6277</v>
      </c>
      <c r="F640" s="105">
        <v>6277</v>
      </c>
      <c r="G640" s="105">
        <v>6277</v>
      </c>
      <c r="H640" s="105"/>
      <c r="I640" s="105"/>
      <c r="J640" s="105"/>
      <c r="K640" s="105"/>
      <c r="L640" s="105"/>
      <c r="M640" s="105"/>
      <c r="N640" s="105"/>
      <c r="O640" s="105">
        <f t="shared" si="135"/>
        <v>32625</v>
      </c>
    </row>
    <row r="641" spans="1:15" ht="16.5" customHeight="1" x14ac:dyDescent="0.15">
      <c r="A641" s="247"/>
      <c r="B641" s="166" t="s">
        <v>23</v>
      </c>
      <c r="C641" s="105">
        <v>94729</v>
      </c>
      <c r="D641" s="105">
        <v>108142</v>
      </c>
      <c r="E641" s="105">
        <v>94729</v>
      </c>
      <c r="F641" s="105">
        <v>94729</v>
      </c>
      <c r="G641" s="105">
        <v>94729</v>
      </c>
      <c r="H641" s="105"/>
      <c r="I641" s="105"/>
      <c r="J641" s="105"/>
      <c r="K641" s="105"/>
      <c r="L641" s="105"/>
      <c r="M641" s="105"/>
      <c r="N641" s="105"/>
      <c r="O641" s="105">
        <f t="shared" si="135"/>
        <v>487058</v>
      </c>
    </row>
    <row r="642" spans="1:15" ht="16.5" customHeight="1" x14ac:dyDescent="0.15">
      <c r="A642" s="247"/>
      <c r="B642" s="166" t="s">
        <v>157</v>
      </c>
      <c r="C642" s="105">
        <v>8084</v>
      </c>
      <c r="D642" s="105">
        <v>11073</v>
      </c>
      <c r="E642" s="105">
        <v>10664</v>
      </c>
      <c r="F642" s="105">
        <v>11068</v>
      </c>
      <c r="G642" s="105">
        <v>11184</v>
      </c>
      <c r="H642" s="105"/>
      <c r="I642" s="105"/>
      <c r="J642" s="105"/>
      <c r="K642" s="105"/>
      <c r="L642" s="105"/>
      <c r="M642" s="105"/>
      <c r="N642" s="105"/>
      <c r="O642" s="105">
        <f t="shared" si="135"/>
        <v>52073</v>
      </c>
    </row>
    <row r="643" spans="1:15" ht="16.5" customHeight="1" x14ac:dyDescent="0.15">
      <c r="A643" s="247"/>
      <c r="B643" s="166" t="s">
        <v>158</v>
      </c>
      <c r="C643" s="105">
        <v>1163858</v>
      </c>
      <c r="D643" s="105">
        <v>1302696</v>
      </c>
      <c r="E643" s="105">
        <v>1254584</v>
      </c>
      <c r="F643" s="105">
        <v>1302402</v>
      </c>
      <c r="G643" s="105">
        <v>1315476</v>
      </c>
      <c r="H643" s="105"/>
      <c r="I643" s="105"/>
      <c r="J643" s="105"/>
      <c r="K643" s="105"/>
      <c r="L643" s="105"/>
      <c r="M643" s="105"/>
      <c r="N643" s="105"/>
      <c r="O643" s="105">
        <f t="shared" si="135"/>
        <v>6339016</v>
      </c>
    </row>
    <row r="644" spans="1:15" ht="16.5" customHeight="1" x14ac:dyDescent="0.15">
      <c r="A644" s="247"/>
      <c r="B644" s="171"/>
      <c r="C644" s="107"/>
      <c r="D644" s="107">
        <v>8</v>
      </c>
      <c r="E644" s="107">
        <v>8</v>
      </c>
      <c r="F644" s="107">
        <v>8</v>
      </c>
      <c r="G644" s="107">
        <v>9</v>
      </c>
      <c r="H644" s="107"/>
      <c r="I644" s="107"/>
      <c r="J644" s="107"/>
      <c r="K644" s="107"/>
      <c r="L644" s="107"/>
      <c r="M644" s="107"/>
      <c r="N644" s="107"/>
      <c r="O644" s="107"/>
    </row>
    <row r="645" spans="1:15" ht="16.5" customHeight="1" thickBot="1" x14ac:dyDescent="0.2">
      <c r="A645" s="247"/>
      <c r="B645" s="171" t="s">
        <v>171</v>
      </c>
      <c r="C645" s="107">
        <v>0</v>
      </c>
      <c r="D645" s="107">
        <v>1</v>
      </c>
      <c r="E645" s="107">
        <v>2</v>
      </c>
      <c r="F645" s="107">
        <v>2</v>
      </c>
      <c r="G645" s="107">
        <v>4</v>
      </c>
      <c r="H645" s="107"/>
      <c r="I645" s="107"/>
      <c r="J645" s="107"/>
      <c r="K645" s="107"/>
      <c r="L645" s="107"/>
      <c r="M645" s="107"/>
      <c r="N645" s="107"/>
      <c r="O645" s="168">
        <f t="shared" si="135"/>
        <v>9</v>
      </c>
    </row>
    <row r="646" spans="1:15" ht="16.5" customHeight="1" thickTop="1" x14ac:dyDescent="0.15">
      <c r="A646" s="247"/>
      <c r="B646" s="169" t="s">
        <v>159</v>
      </c>
      <c r="C646" s="110">
        <f>IF(C634="","",C634-SUM(C635:C642))</f>
        <v>630204</v>
      </c>
      <c r="D646" s="110">
        <v>672546</v>
      </c>
      <c r="E646" s="110">
        <v>656961</v>
      </c>
      <c r="F646" s="110">
        <v>692464</v>
      </c>
      <c r="G646" s="110">
        <v>673430</v>
      </c>
      <c r="H646" s="110" t="str">
        <f t="shared" ref="H646:M646" si="136">IF(H634="","",H634-SUM(H635:H642))</f>
        <v/>
      </c>
      <c r="I646" s="110" t="str">
        <f t="shared" si="136"/>
        <v/>
      </c>
      <c r="J646" s="110" t="str">
        <f t="shared" si="136"/>
        <v/>
      </c>
      <c r="K646" s="110" t="str">
        <f t="shared" si="136"/>
        <v/>
      </c>
      <c r="L646" s="110" t="str">
        <f t="shared" si="136"/>
        <v/>
      </c>
      <c r="M646" s="110" t="str">
        <f t="shared" si="136"/>
        <v/>
      </c>
      <c r="N646" s="110" t="str">
        <f>IF(N634="","",N634-SUM(N635:N642))</f>
        <v/>
      </c>
      <c r="O646" s="110">
        <f>IF(O634="","",O634-SUM(O635:O642))</f>
        <v>3325605</v>
      </c>
    </row>
    <row r="647" spans="1:15" ht="16.5" customHeight="1" thickBot="1" x14ac:dyDescent="0.2">
      <c r="A647" s="248"/>
      <c r="B647" s="170" t="s">
        <v>160</v>
      </c>
      <c r="C647" s="112">
        <f t="shared" ref="C647:O647" si="137">IF(C634="","",IF(C634=0,"―     ",C646/C634))</f>
        <v>0.32153412949345178</v>
      </c>
      <c r="D647" s="112">
        <v>0.31037800763408452</v>
      </c>
      <c r="E647" s="112">
        <v>0.31583843496370767</v>
      </c>
      <c r="F647" s="112">
        <v>0.32002528908913525</v>
      </c>
      <c r="G647" s="112">
        <v>0.31207149427577752</v>
      </c>
      <c r="H647" s="112" t="str">
        <f t="shared" si="137"/>
        <v/>
      </c>
      <c r="I647" s="112" t="str">
        <f t="shared" si="137"/>
        <v/>
      </c>
      <c r="J647" s="112" t="str">
        <f t="shared" si="137"/>
        <v/>
      </c>
      <c r="K647" s="112" t="str">
        <f t="shared" si="137"/>
        <v/>
      </c>
      <c r="L647" s="112" t="str">
        <f t="shared" si="137"/>
        <v/>
      </c>
      <c r="M647" s="112" t="str">
        <f t="shared" si="137"/>
        <v/>
      </c>
      <c r="N647" s="112" t="str">
        <f t="shared" si="137"/>
        <v/>
      </c>
      <c r="O647" s="112">
        <f t="shared" si="137"/>
        <v>0.31586333251651216</v>
      </c>
    </row>
    <row r="648" spans="1:15" ht="16.5" customHeight="1" x14ac:dyDescent="0.15">
      <c r="A648" s="251"/>
      <c r="B648" s="164" t="s">
        <v>21</v>
      </c>
      <c r="C648" s="102">
        <v>222802</v>
      </c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3">
        <f>SUM(C648:N648)</f>
        <v>222802</v>
      </c>
    </row>
    <row r="649" spans="1:15" ht="16.5" customHeight="1" x14ac:dyDescent="0.15">
      <c r="A649" s="247"/>
      <c r="B649" s="166" t="s">
        <v>155</v>
      </c>
      <c r="C649" s="105">
        <v>181020</v>
      </c>
      <c r="D649" s="105"/>
      <c r="E649" s="105"/>
      <c r="F649" s="105"/>
      <c r="G649" s="105"/>
      <c r="H649" s="105"/>
      <c r="I649" s="105"/>
      <c r="J649" s="105"/>
      <c r="K649" s="105"/>
      <c r="L649" s="105"/>
      <c r="M649" s="105"/>
      <c r="N649" s="105"/>
      <c r="O649" s="105">
        <f t="shared" ref="O649:O659" si="138">SUM(C649:N649)</f>
        <v>181020</v>
      </c>
    </row>
    <row r="650" spans="1:15" ht="16.5" customHeight="1" x14ac:dyDescent="0.15">
      <c r="A650" s="247"/>
      <c r="B650" s="166" t="s">
        <v>156</v>
      </c>
      <c r="C650" s="105">
        <v>0</v>
      </c>
      <c r="D650" s="105"/>
      <c r="E650" s="105"/>
      <c r="F650" s="105"/>
      <c r="G650" s="105"/>
      <c r="H650" s="105"/>
      <c r="I650" s="105"/>
      <c r="J650" s="105"/>
      <c r="K650" s="105"/>
      <c r="L650" s="105"/>
      <c r="M650" s="105"/>
      <c r="N650" s="105"/>
      <c r="O650" s="105">
        <f t="shared" si="138"/>
        <v>0</v>
      </c>
    </row>
    <row r="651" spans="1:15" ht="16.5" customHeight="1" x14ac:dyDescent="0.15">
      <c r="A651" s="247"/>
      <c r="B651" s="166" t="s">
        <v>26</v>
      </c>
      <c r="C651" s="105">
        <v>0</v>
      </c>
      <c r="D651" s="105"/>
      <c r="E651" s="105"/>
      <c r="F651" s="105"/>
      <c r="G651" s="105"/>
      <c r="H651" s="105"/>
      <c r="I651" s="105"/>
      <c r="J651" s="105"/>
      <c r="K651" s="105"/>
      <c r="L651" s="105"/>
      <c r="M651" s="105"/>
      <c r="N651" s="105"/>
      <c r="O651" s="105">
        <f t="shared" si="138"/>
        <v>0</v>
      </c>
    </row>
    <row r="652" spans="1:15" ht="16.5" customHeight="1" x14ac:dyDescent="0.15">
      <c r="A652" s="247"/>
      <c r="B652" s="166" t="s">
        <v>66</v>
      </c>
      <c r="C652" s="106">
        <v>3810</v>
      </c>
      <c r="D652" s="105"/>
      <c r="E652" s="105"/>
      <c r="F652" s="105"/>
      <c r="G652" s="105"/>
      <c r="H652" s="105"/>
      <c r="I652" s="106"/>
      <c r="J652" s="106"/>
      <c r="K652" s="106"/>
      <c r="L652" s="106"/>
      <c r="M652" s="106"/>
      <c r="N652" s="106"/>
      <c r="O652" s="105">
        <f t="shared" si="138"/>
        <v>3810</v>
      </c>
    </row>
    <row r="653" spans="1:15" ht="16.5" customHeight="1" x14ac:dyDescent="0.15">
      <c r="A653" s="247"/>
      <c r="B653" s="166" t="s">
        <v>22</v>
      </c>
      <c r="C653" s="105">
        <v>9557</v>
      </c>
      <c r="D653" s="105"/>
      <c r="E653" s="105"/>
      <c r="F653" s="105"/>
      <c r="G653" s="105"/>
      <c r="H653" s="105"/>
      <c r="I653" s="105"/>
      <c r="J653" s="105"/>
      <c r="K653" s="105"/>
      <c r="L653" s="105"/>
      <c r="M653" s="105"/>
      <c r="N653" s="105"/>
      <c r="O653" s="105">
        <f t="shared" si="138"/>
        <v>9557</v>
      </c>
    </row>
    <row r="654" spans="1:15" ht="16.5" customHeight="1" x14ac:dyDescent="0.15">
      <c r="A654" s="247"/>
      <c r="B654" s="166" t="s">
        <v>67</v>
      </c>
      <c r="C654" s="105">
        <v>1472</v>
      </c>
      <c r="D654" s="105"/>
      <c r="E654" s="105"/>
      <c r="F654" s="105"/>
      <c r="G654" s="105"/>
      <c r="H654" s="105"/>
      <c r="I654" s="105"/>
      <c r="J654" s="105"/>
      <c r="K654" s="105"/>
      <c r="L654" s="105"/>
      <c r="M654" s="105"/>
      <c r="N654" s="105"/>
      <c r="O654" s="105">
        <f t="shared" si="138"/>
        <v>1472</v>
      </c>
    </row>
    <row r="655" spans="1:15" ht="16.5" customHeight="1" x14ac:dyDescent="0.15">
      <c r="A655" s="247"/>
      <c r="B655" s="166" t="s">
        <v>23</v>
      </c>
      <c r="C655" s="105">
        <v>15928</v>
      </c>
      <c r="D655" s="105"/>
      <c r="E655" s="105"/>
      <c r="F655" s="105"/>
      <c r="G655" s="105"/>
      <c r="H655" s="105"/>
      <c r="I655" s="105"/>
      <c r="J655" s="105"/>
      <c r="K655" s="105"/>
      <c r="L655" s="105"/>
      <c r="M655" s="105"/>
      <c r="N655" s="105"/>
      <c r="O655" s="105">
        <f t="shared" si="138"/>
        <v>15928</v>
      </c>
    </row>
    <row r="656" spans="1:15" ht="16.5" customHeight="1" x14ac:dyDescent="0.15">
      <c r="A656" s="247"/>
      <c r="B656" s="166" t="s">
        <v>157</v>
      </c>
      <c r="C656" s="105">
        <v>1463</v>
      </c>
      <c r="D656" s="105"/>
      <c r="E656" s="105"/>
      <c r="F656" s="105"/>
      <c r="G656" s="105"/>
      <c r="H656" s="105"/>
      <c r="I656" s="105"/>
      <c r="J656" s="105"/>
      <c r="K656" s="105"/>
      <c r="L656" s="105"/>
      <c r="M656" s="105"/>
      <c r="N656" s="105"/>
      <c r="O656" s="105">
        <f t="shared" si="138"/>
        <v>1463</v>
      </c>
    </row>
    <row r="657" spans="1:15" ht="16.5" customHeight="1" x14ac:dyDescent="0.15">
      <c r="A657" s="247"/>
      <c r="B657" s="166" t="s">
        <v>158</v>
      </c>
      <c r="C657" s="105">
        <v>184830</v>
      </c>
      <c r="D657" s="105"/>
      <c r="E657" s="105"/>
      <c r="F657" s="105"/>
      <c r="G657" s="105"/>
      <c r="H657" s="105"/>
      <c r="I657" s="105"/>
      <c r="J657" s="105"/>
      <c r="K657" s="105"/>
      <c r="L657" s="105"/>
      <c r="M657" s="105"/>
      <c r="N657" s="105"/>
      <c r="O657" s="105">
        <f t="shared" si="138"/>
        <v>184830</v>
      </c>
    </row>
    <row r="658" spans="1:15" ht="16.5" customHeight="1" x14ac:dyDescent="0.15">
      <c r="A658" s="247"/>
      <c r="B658" s="171"/>
      <c r="C658" s="107"/>
      <c r="D658" s="107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</row>
    <row r="659" spans="1:15" ht="16.5" customHeight="1" thickBot="1" x14ac:dyDescent="0.2">
      <c r="A659" s="247"/>
      <c r="B659" s="171" t="s">
        <v>171</v>
      </c>
      <c r="C659" s="107">
        <v>3</v>
      </c>
      <c r="D659" s="107"/>
      <c r="E659" s="107"/>
      <c r="F659" s="107"/>
      <c r="G659" s="107"/>
      <c r="H659" s="107"/>
      <c r="I659" s="107"/>
      <c r="J659" s="107"/>
      <c r="K659" s="107"/>
      <c r="L659" s="107"/>
      <c r="M659" s="107"/>
      <c r="N659" s="107"/>
      <c r="O659" s="168">
        <f t="shared" si="138"/>
        <v>3</v>
      </c>
    </row>
    <row r="660" spans="1:15" ht="16.5" customHeight="1" thickTop="1" x14ac:dyDescent="0.15">
      <c r="A660" s="247"/>
      <c r="B660" s="169" t="s">
        <v>159</v>
      </c>
      <c r="C660" s="110">
        <f>IF(C648="","",C648-SUM(C649:C656))</f>
        <v>9552</v>
      </c>
      <c r="D660" s="110" t="s">
        <v>181</v>
      </c>
      <c r="E660" s="110" t="s">
        <v>181</v>
      </c>
      <c r="F660" s="110" t="s">
        <v>181</v>
      </c>
      <c r="G660" s="110" t="s">
        <v>181</v>
      </c>
      <c r="H660" s="110" t="str">
        <f t="shared" ref="H660:M660" si="139">IF(H648="","",H648-SUM(H649:H656))</f>
        <v/>
      </c>
      <c r="I660" s="110" t="str">
        <f t="shared" si="139"/>
        <v/>
      </c>
      <c r="J660" s="110" t="str">
        <f t="shared" si="139"/>
        <v/>
      </c>
      <c r="K660" s="110" t="str">
        <f t="shared" si="139"/>
        <v/>
      </c>
      <c r="L660" s="110" t="str">
        <f t="shared" si="139"/>
        <v/>
      </c>
      <c r="M660" s="110" t="str">
        <f t="shared" si="139"/>
        <v/>
      </c>
      <c r="N660" s="110" t="str">
        <f>IF(N648="","",N648-SUM(N649:N656))</f>
        <v/>
      </c>
      <c r="O660" s="110">
        <f>IF(O648="","",O648-SUM(O649:O656))</f>
        <v>9552</v>
      </c>
    </row>
    <row r="661" spans="1:15" ht="16.5" customHeight="1" thickBot="1" x14ac:dyDescent="0.2">
      <c r="A661" s="248"/>
      <c r="B661" s="170" t="s">
        <v>160</v>
      </c>
      <c r="C661" s="112">
        <f t="shared" ref="C661:O661" si="140">IF(C648="","",IF(C648=0,"―     ",C660/C648))</f>
        <v>4.2872146569599916E-2</v>
      </c>
      <c r="D661" s="112" t="s">
        <v>181</v>
      </c>
      <c r="E661" s="112" t="s">
        <v>181</v>
      </c>
      <c r="F661" s="112" t="s">
        <v>181</v>
      </c>
      <c r="G661" s="112" t="s">
        <v>181</v>
      </c>
      <c r="H661" s="112" t="str">
        <f t="shared" si="140"/>
        <v/>
      </c>
      <c r="I661" s="112" t="str">
        <f t="shared" si="140"/>
        <v/>
      </c>
      <c r="J661" s="112" t="str">
        <f t="shared" si="140"/>
        <v/>
      </c>
      <c r="K661" s="112" t="str">
        <f t="shared" si="140"/>
        <v/>
      </c>
      <c r="L661" s="112" t="str">
        <f t="shared" si="140"/>
        <v/>
      </c>
      <c r="M661" s="112" t="str">
        <f t="shared" si="140"/>
        <v/>
      </c>
      <c r="N661" s="112" t="str">
        <f t="shared" si="140"/>
        <v/>
      </c>
      <c r="O661" s="112">
        <f t="shared" si="140"/>
        <v>4.2872146569599916E-2</v>
      </c>
    </row>
    <row r="662" spans="1:15" ht="16.5" customHeight="1" x14ac:dyDescent="0.15">
      <c r="A662" s="251"/>
      <c r="B662" s="164" t="s">
        <v>21</v>
      </c>
      <c r="C662" s="102">
        <v>194400</v>
      </c>
      <c r="D662" s="102">
        <v>200700</v>
      </c>
      <c r="E662" s="102"/>
      <c r="F662" s="102">
        <v>444375</v>
      </c>
      <c r="G662" s="102">
        <v>503550</v>
      </c>
      <c r="H662" s="102"/>
      <c r="I662" s="102"/>
      <c r="J662" s="102"/>
      <c r="K662" s="102"/>
      <c r="L662" s="102"/>
      <c r="M662" s="102"/>
      <c r="N662" s="102"/>
      <c r="O662" s="103">
        <f>SUM(C662:N662)</f>
        <v>1343025</v>
      </c>
    </row>
    <row r="663" spans="1:15" ht="16.5" customHeight="1" x14ac:dyDescent="0.15">
      <c r="A663" s="247"/>
      <c r="B663" s="166" t="s">
        <v>155</v>
      </c>
      <c r="C663" s="105">
        <v>135000</v>
      </c>
      <c r="D663" s="105">
        <v>120625</v>
      </c>
      <c r="E663" s="105"/>
      <c r="F663" s="105">
        <v>280313</v>
      </c>
      <c r="G663" s="105">
        <v>321713</v>
      </c>
      <c r="H663" s="105"/>
      <c r="I663" s="105"/>
      <c r="J663" s="105"/>
      <c r="K663" s="105"/>
      <c r="L663" s="105"/>
      <c r="M663" s="105"/>
      <c r="N663" s="105"/>
      <c r="O663" s="105">
        <f t="shared" ref="O663:O673" si="141">SUM(C663:N663)</f>
        <v>857651</v>
      </c>
    </row>
    <row r="664" spans="1:15" ht="16.5" customHeight="1" x14ac:dyDescent="0.15">
      <c r="A664" s="247"/>
      <c r="B664" s="166" t="s">
        <v>156</v>
      </c>
      <c r="C664" s="105">
        <v>0</v>
      </c>
      <c r="D664" s="105">
        <v>0</v>
      </c>
      <c r="E664" s="105"/>
      <c r="F664" s="105">
        <v>0</v>
      </c>
      <c r="G664" s="105">
        <v>0</v>
      </c>
      <c r="H664" s="105"/>
      <c r="I664" s="105"/>
      <c r="J664" s="105"/>
      <c r="K664" s="105"/>
      <c r="L664" s="105"/>
      <c r="M664" s="105"/>
      <c r="N664" s="105"/>
      <c r="O664" s="105">
        <f t="shared" si="141"/>
        <v>0</v>
      </c>
    </row>
    <row r="665" spans="1:15" ht="16.5" customHeight="1" x14ac:dyDescent="0.15">
      <c r="A665" s="247"/>
      <c r="B665" s="166" t="s">
        <v>26</v>
      </c>
      <c r="C665" s="105">
        <v>0</v>
      </c>
      <c r="D665" s="105">
        <v>0</v>
      </c>
      <c r="E665" s="105"/>
      <c r="F665" s="105">
        <v>0</v>
      </c>
      <c r="G665" s="105">
        <v>0</v>
      </c>
      <c r="H665" s="105"/>
      <c r="I665" s="105"/>
      <c r="J665" s="105"/>
      <c r="K665" s="105"/>
      <c r="L665" s="105"/>
      <c r="M665" s="105"/>
      <c r="N665" s="105"/>
      <c r="O665" s="105">
        <f t="shared" si="141"/>
        <v>0</v>
      </c>
    </row>
    <row r="666" spans="1:15" ht="16.5" customHeight="1" x14ac:dyDescent="0.15">
      <c r="A666" s="247"/>
      <c r="B666" s="166" t="s">
        <v>66</v>
      </c>
      <c r="C666" s="106">
        <v>0</v>
      </c>
      <c r="D666" s="105">
        <v>18756</v>
      </c>
      <c r="E666" s="105"/>
      <c r="F666" s="105">
        <v>3595</v>
      </c>
      <c r="G666" s="105">
        <v>0</v>
      </c>
      <c r="H666" s="105"/>
      <c r="I666" s="106"/>
      <c r="J666" s="106"/>
      <c r="K666" s="106"/>
      <c r="L666" s="106"/>
      <c r="M666" s="106"/>
      <c r="N666" s="106"/>
      <c r="O666" s="105">
        <f t="shared" si="141"/>
        <v>22351</v>
      </c>
    </row>
    <row r="667" spans="1:15" ht="16.5" customHeight="1" x14ac:dyDescent="0.15">
      <c r="A667" s="247"/>
      <c r="B667" s="166" t="s">
        <v>22</v>
      </c>
      <c r="C667" s="105">
        <v>7545</v>
      </c>
      <c r="D667" s="105">
        <v>7545</v>
      </c>
      <c r="E667" s="105"/>
      <c r="F667" s="105">
        <v>0</v>
      </c>
      <c r="G667" s="105">
        <v>0</v>
      </c>
      <c r="H667" s="105"/>
      <c r="I667" s="105"/>
      <c r="J667" s="105"/>
      <c r="K667" s="105"/>
      <c r="L667" s="105"/>
      <c r="M667" s="105"/>
      <c r="N667" s="105"/>
      <c r="O667" s="105">
        <f t="shared" si="141"/>
        <v>15090</v>
      </c>
    </row>
    <row r="668" spans="1:15" ht="16.5" customHeight="1" x14ac:dyDescent="0.15">
      <c r="A668" s="247"/>
      <c r="B668" s="166" t="s">
        <v>67</v>
      </c>
      <c r="C668" s="105">
        <v>0</v>
      </c>
      <c r="D668" s="105">
        <v>0</v>
      </c>
      <c r="E668" s="105"/>
      <c r="F668" s="105">
        <v>0</v>
      </c>
      <c r="G668" s="105">
        <v>0</v>
      </c>
      <c r="H668" s="105"/>
      <c r="I668" s="105"/>
      <c r="J668" s="105"/>
      <c r="K668" s="105"/>
      <c r="L668" s="105"/>
      <c r="M668" s="105"/>
      <c r="N668" s="105"/>
      <c r="O668" s="105">
        <f t="shared" si="141"/>
        <v>0</v>
      </c>
    </row>
    <row r="669" spans="1:15" ht="16.5" customHeight="1" x14ac:dyDescent="0.15">
      <c r="A669" s="247"/>
      <c r="B669" s="166" t="s">
        <v>23</v>
      </c>
      <c r="C669" s="105">
        <v>12574</v>
      </c>
      <c r="D669" s="105">
        <v>12574</v>
      </c>
      <c r="E669" s="105"/>
      <c r="F669" s="105">
        <v>0</v>
      </c>
      <c r="G669" s="105">
        <v>0</v>
      </c>
      <c r="H669" s="105"/>
      <c r="I669" s="105"/>
      <c r="J669" s="105"/>
      <c r="K669" s="105"/>
      <c r="L669" s="105"/>
      <c r="M669" s="105"/>
      <c r="N669" s="105"/>
      <c r="O669" s="105">
        <f t="shared" si="141"/>
        <v>25148</v>
      </c>
    </row>
    <row r="670" spans="1:15" ht="16.5" customHeight="1" x14ac:dyDescent="0.15">
      <c r="A670" s="247"/>
      <c r="B670" s="166" t="s">
        <v>157</v>
      </c>
      <c r="C670" s="105">
        <v>1069</v>
      </c>
      <c r="D670" s="105">
        <v>1185</v>
      </c>
      <c r="E670" s="105"/>
      <c r="F670" s="105">
        <v>2412</v>
      </c>
      <c r="G670" s="105">
        <v>2734</v>
      </c>
      <c r="H670" s="105"/>
      <c r="I670" s="105"/>
      <c r="J670" s="105"/>
      <c r="K670" s="105"/>
      <c r="L670" s="105"/>
      <c r="M670" s="105"/>
      <c r="N670" s="105"/>
      <c r="O670" s="105">
        <f t="shared" si="141"/>
        <v>7400</v>
      </c>
    </row>
    <row r="671" spans="1:15" ht="16.5" customHeight="1" x14ac:dyDescent="0.15">
      <c r="A671" s="247"/>
      <c r="B671" s="166" t="s">
        <v>158</v>
      </c>
      <c r="C671" s="105">
        <v>135000</v>
      </c>
      <c r="D671" s="105">
        <v>139381</v>
      </c>
      <c r="E671" s="105"/>
      <c r="F671" s="105">
        <v>283908</v>
      </c>
      <c r="G671" s="105">
        <v>321713</v>
      </c>
      <c r="H671" s="105"/>
      <c r="I671" s="105"/>
      <c r="J671" s="105"/>
      <c r="K671" s="105"/>
      <c r="L671" s="105"/>
      <c r="M671" s="105"/>
      <c r="N671" s="105"/>
      <c r="O671" s="105">
        <f t="shared" si="141"/>
        <v>880002</v>
      </c>
    </row>
    <row r="672" spans="1:15" ht="16.5" customHeight="1" x14ac:dyDescent="0.15">
      <c r="A672" s="247"/>
      <c r="B672" s="171"/>
      <c r="C672" s="107"/>
      <c r="D672" s="107">
        <v>1</v>
      </c>
      <c r="E672" s="107"/>
      <c r="F672" s="107">
        <v>2</v>
      </c>
      <c r="G672" s="107">
        <v>2</v>
      </c>
      <c r="H672" s="107"/>
      <c r="I672" s="107"/>
      <c r="J672" s="107"/>
      <c r="K672" s="107"/>
      <c r="L672" s="107"/>
      <c r="M672" s="107"/>
      <c r="N672" s="107"/>
      <c r="O672" s="107"/>
    </row>
    <row r="673" spans="1:15" ht="16.5" customHeight="1" thickBot="1" x14ac:dyDescent="0.2">
      <c r="A673" s="247"/>
      <c r="B673" s="171" t="s">
        <v>171</v>
      </c>
      <c r="C673" s="107">
        <v>0</v>
      </c>
      <c r="D673" s="107">
        <v>0</v>
      </c>
      <c r="E673" s="107"/>
      <c r="F673" s="107">
        <v>0</v>
      </c>
      <c r="G673" s="107">
        <v>0</v>
      </c>
      <c r="H673" s="107"/>
      <c r="I673" s="107"/>
      <c r="J673" s="107"/>
      <c r="K673" s="107"/>
      <c r="L673" s="107"/>
      <c r="M673" s="107"/>
      <c r="N673" s="107"/>
      <c r="O673" s="168">
        <f t="shared" si="141"/>
        <v>0</v>
      </c>
    </row>
    <row r="674" spans="1:15" ht="16.5" customHeight="1" thickTop="1" x14ac:dyDescent="0.15">
      <c r="A674" s="247"/>
      <c r="B674" s="169" t="s">
        <v>159</v>
      </c>
      <c r="C674" s="110">
        <f>IF(C662="","",C662-SUM(C663:C670))</f>
        <v>38212</v>
      </c>
      <c r="D674" s="110">
        <v>40015</v>
      </c>
      <c r="E674" s="110" t="s">
        <v>181</v>
      </c>
      <c r="F674" s="110">
        <v>158055</v>
      </c>
      <c r="G674" s="110">
        <v>179103</v>
      </c>
      <c r="H674" s="110" t="str">
        <f t="shared" ref="H674:M674" si="142">IF(H662="","",H662-SUM(H663:H670))</f>
        <v/>
      </c>
      <c r="I674" s="110" t="str">
        <f t="shared" si="142"/>
        <v/>
      </c>
      <c r="J674" s="110" t="str">
        <f t="shared" si="142"/>
        <v/>
      </c>
      <c r="K674" s="110" t="str">
        <f t="shared" si="142"/>
        <v/>
      </c>
      <c r="L674" s="110" t="str">
        <f t="shared" si="142"/>
        <v/>
      </c>
      <c r="M674" s="110" t="str">
        <f t="shared" si="142"/>
        <v/>
      </c>
      <c r="N674" s="110" t="str">
        <f>IF(N662="","",N662-SUM(N663:N670))</f>
        <v/>
      </c>
      <c r="O674" s="110">
        <f>IF(O662="","",O662-SUM(O663:O670))</f>
        <v>415385</v>
      </c>
    </row>
    <row r="675" spans="1:15" ht="16.5" customHeight="1" thickBot="1" x14ac:dyDescent="0.2">
      <c r="A675" s="248"/>
      <c r="B675" s="170" t="s">
        <v>160</v>
      </c>
      <c r="C675" s="112">
        <f t="shared" ref="C675:O675" si="143">IF(C662="","",IF(C662=0,"―     ",C674/C662))</f>
        <v>0.19656378600823046</v>
      </c>
      <c r="D675" s="112">
        <v>0.19937717987045342</v>
      </c>
      <c r="E675" s="112" t="s">
        <v>181</v>
      </c>
      <c r="F675" s="112">
        <v>0.35567932489451476</v>
      </c>
      <c r="G675" s="112">
        <v>0.35568066726243669</v>
      </c>
      <c r="H675" s="112" t="str">
        <f t="shared" si="143"/>
        <v/>
      </c>
      <c r="I675" s="112" t="str">
        <f t="shared" si="143"/>
        <v/>
      </c>
      <c r="J675" s="112" t="str">
        <f t="shared" si="143"/>
        <v/>
      </c>
      <c r="K675" s="112" t="str">
        <f t="shared" si="143"/>
        <v/>
      </c>
      <c r="L675" s="112" t="str">
        <f t="shared" si="143"/>
        <v/>
      </c>
      <c r="M675" s="112" t="str">
        <f t="shared" si="143"/>
        <v/>
      </c>
      <c r="N675" s="112" t="str">
        <f t="shared" si="143"/>
        <v/>
      </c>
      <c r="O675" s="112">
        <f t="shared" si="143"/>
        <v>0.30929059399489955</v>
      </c>
    </row>
    <row r="676" spans="1:15" ht="16.5" customHeight="1" x14ac:dyDescent="0.15">
      <c r="A676" s="251"/>
      <c r="B676" s="164" t="s">
        <v>21</v>
      </c>
      <c r="C676" s="102">
        <v>290250</v>
      </c>
      <c r="D676" s="102">
        <v>302400</v>
      </c>
      <c r="E676" s="102">
        <v>300000</v>
      </c>
      <c r="F676" s="102"/>
      <c r="G676" s="102"/>
      <c r="H676" s="102"/>
      <c r="I676" s="102"/>
      <c r="J676" s="102"/>
      <c r="K676" s="102"/>
      <c r="L676" s="102"/>
      <c r="M676" s="102"/>
      <c r="N676" s="102"/>
      <c r="O676" s="103">
        <f>SUM(C676:N676)</f>
        <v>892650</v>
      </c>
    </row>
    <row r="677" spans="1:15" ht="16.5" customHeight="1" x14ac:dyDescent="0.15">
      <c r="A677" s="247"/>
      <c r="B677" s="166" t="s">
        <v>155</v>
      </c>
      <c r="C677" s="105">
        <v>176000</v>
      </c>
      <c r="D677" s="105">
        <v>184800</v>
      </c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>
        <f t="shared" ref="O677:O687" si="144">SUM(C677:N677)</f>
        <v>360800</v>
      </c>
    </row>
    <row r="678" spans="1:15" ht="16.5" customHeight="1" x14ac:dyDescent="0.15">
      <c r="A678" s="247"/>
      <c r="B678" s="166" t="s">
        <v>156</v>
      </c>
      <c r="C678" s="105">
        <v>0</v>
      </c>
      <c r="D678" s="105">
        <v>0</v>
      </c>
      <c r="E678" s="105"/>
      <c r="F678" s="105"/>
      <c r="G678" s="105"/>
      <c r="H678" s="105"/>
      <c r="I678" s="105"/>
      <c r="J678" s="105"/>
      <c r="K678" s="105"/>
      <c r="L678" s="105"/>
      <c r="M678" s="105"/>
      <c r="N678" s="105"/>
      <c r="O678" s="105">
        <f t="shared" si="144"/>
        <v>0</v>
      </c>
    </row>
    <row r="679" spans="1:15" ht="16.5" customHeight="1" x14ac:dyDescent="0.15">
      <c r="A679" s="247"/>
      <c r="B679" s="166" t="s">
        <v>26</v>
      </c>
      <c r="C679" s="105">
        <v>18400</v>
      </c>
      <c r="D679" s="105">
        <v>19320</v>
      </c>
      <c r="E679" s="105"/>
      <c r="F679" s="105"/>
      <c r="G679" s="105"/>
      <c r="H679" s="105"/>
      <c r="I679" s="105"/>
      <c r="J679" s="105"/>
      <c r="K679" s="105"/>
      <c r="L679" s="105"/>
      <c r="M679" s="105"/>
      <c r="N679" s="105"/>
      <c r="O679" s="105">
        <f t="shared" si="144"/>
        <v>37720</v>
      </c>
    </row>
    <row r="680" spans="1:15" ht="16.5" customHeight="1" x14ac:dyDescent="0.15">
      <c r="A680" s="247"/>
      <c r="B680" s="166" t="s">
        <v>66</v>
      </c>
      <c r="C680" s="106">
        <v>1375</v>
      </c>
      <c r="D680" s="105">
        <v>0</v>
      </c>
      <c r="E680" s="105"/>
      <c r="F680" s="105"/>
      <c r="G680" s="105"/>
      <c r="H680" s="105"/>
      <c r="I680" s="106"/>
      <c r="J680" s="106"/>
      <c r="K680" s="106"/>
      <c r="L680" s="106"/>
      <c r="M680" s="106"/>
      <c r="N680" s="106"/>
      <c r="O680" s="105">
        <f t="shared" si="144"/>
        <v>1375</v>
      </c>
    </row>
    <row r="681" spans="1:15" ht="16.5" customHeight="1" x14ac:dyDescent="0.15">
      <c r="A681" s="247"/>
      <c r="B681" s="166" t="s">
        <v>22</v>
      </c>
      <c r="C681" s="105">
        <v>10060</v>
      </c>
      <c r="D681" s="105">
        <v>10060</v>
      </c>
      <c r="E681" s="105"/>
      <c r="F681" s="105"/>
      <c r="G681" s="105"/>
      <c r="H681" s="105"/>
      <c r="I681" s="105"/>
      <c r="J681" s="105"/>
      <c r="K681" s="105"/>
      <c r="L681" s="105"/>
      <c r="M681" s="105"/>
      <c r="N681" s="105"/>
      <c r="O681" s="105">
        <f t="shared" si="144"/>
        <v>20120</v>
      </c>
    </row>
    <row r="682" spans="1:15" ht="16.5" customHeight="1" x14ac:dyDescent="0.15">
      <c r="A682" s="247"/>
      <c r="B682" s="166" t="s">
        <v>67</v>
      </c>
      <c r="C682" s="105">
        <v>1550</v>
      </c>
      <c r="D682" s="105">
        <v>1550</v>
      </c>
      <c r="E682" s="105"/>
      <c r="F682" s="105"/>
      <c r="G682" s="105"/>
      <c r="H682" s="105"/>
      <c r="I682" s="105"/>
      <c r="J682" s="105"/>
      <c r="K682" s="105"/>
      <c r="L682" s="105"/>
      <c r="M682" s="105"/>
      <c r="N682" s="105"/>
      <c r="O682" s="105">
        <f t="shared" si="144"/>
        <v>3100</v>
      </c>
    </row>
    <row r="683" spans="1:15" ht="16.5" customHeight="1" x14ac:dyDescent="0.15">
      <c r="A683" s="247"/>
      <c r="B683" s="166" t="s">
        <v>23</v>
      </c>
      <c r="C683" s="105">
        <v>16766</v>
      </c>
      <c r="D683" s="105">
        <v>16766</v>
      </c>
      <c r="E683" s="105"/>
      <c r="F683" s="105"/>
      <c r="G683" s="105"/>
      <c r="H683" s="105"/>
      <c r="I683" s="105"/>
      <c r="J683" s="105"/>
      <c r="K683" s="105"/>
      <c r="L683" s="105"/>
      <c r="M683" s="105"/>
      <c r="N683" s="105"/>
      <c r="O683" s="105">
        <f t="shared" si="144"/>
        <v>33532</v>
      </c>
    </row>
    <row r="684" spans="1:15" ht="16.5" customHeight="1" x14ac:dyDescent="0.15">
      <c r="A684" s="247"/>
      <c r="B684" s="166" t="s">
        <v>157</v>
      </c>
      <c r="C684" s="105">
        <v>1550</v>
      </c>
      <c r="D684" s="105">
        <v>1736</v>
      </c>
      <c r="E684" s="105"/>
      <c r="F684" s="105"/>
      <c r="G684" s="105"/>
      <c r="H684" s="105"/>
      <c r="I684" s="105"/>
      <c r="J684" s="105"/>
      <c r="K684" s="105"/>
      <c r="L684" s="105"/>
      <c r="M684" s="105"/>
      <c r="N684" s="105"/>
      <c r="O684" s="105">
        <f t="shared" si="144"/>
        <v>3286</v>
      </c>
    </row>
    <row r="685" spans="1:15" ht="16.5" customHeight="1" x14ac:dyDescent="0.15">
      <c r="A685" s="247"/>
      <c r="B685" s="166" t="s">
        <v>158</v>
      </c>
      <c r="C685" s="105">
        <v>195775</v>
      </c>
      <c r="D685" s="105">
        <v>204120</v>
      </c>
      <c r="E685" s="105"/>
      <c r="F685" s="105"/>
      <c r="G685" s="105"/>
      <c r="H685" s="105"/>
      <c r="I685" s="105"/>
      <c r="J685" s="105"/>
      <c r="K685" s="105"/>
      <c r="L685" s="105"/>
      <c r="M685" s="105"/>
      <c r="N685" s="105"/>
      <c r="O685" s="105">
        <f t="shared" si="144"/>
        <v>399895</v>
      </c>
    </row>
    <row r="686" spans="1:15" ht="16.5" customHeight="1" x14ac:dyDescent="0.15">
      <c r="A686" s="247"/>
      <c r="B686" s="171"/>
      <c r="C686" s="107"/>
      <c r="D686" s="107">
        <v>1</v>
      </c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</row>
    <row r="687" spans="1:15" ht="16.5" customHeight="1" thickBot="1" x14ac:dyDescent="0.2">
      <c r="A687" s="247"/>
      <c r="B687" s="171" t="s">
        <v>171</v>
      </c>
      <c r="C687" s="107">
        <v>0</v>
      </c>
      <c r="D687" s="107">
        <v>0</v>
      </c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68">
        <f t="shared" si="144"/>
        <v>0</v>
      </c>
    </row>
    <row r="688" spans="1:15" ht="16.5" customHeight="1" thickTop="1" x14ac:dyDescent="0.15">
      <c r="A688" s="247"/>
      <c r="B688" s="169" t="s">
        <v>159</v>
      </c>
      <c r="C688" s="110">
        <f>IF(C676="","",C676-SUM(C677:C684))</f>
        <v>64549</v>
      </c>
      <c r="D688" s="110">
        <v>68168</v>
      </c>
      <c r="E688" s="110">
        <v>300000</v>
      </c>
      <c r="F688" s="110" t="s">
        <v>181</v>
      </c>
      <c r="G688" s="110" t="s">
        <v>181</v>
      </c>
      <c r="H688" s="110" t="str">
        <f t="shared" ref="H688:M688" si="145">IF(H676="","",H676-SUM(H677:H684))</f>
        <v/>
      </c>
      <c r="I688" s="110" t="str">
        <f t="shared" si="145"/>
        <v/>
      </c>
      <c r="J688" s="110" t="str">
        <f t="shared" si="145"/>
        <v/>
      </c>
      <c r="K688" s="110" t="str">
        <f t="shared" si="145"/>
        <v/>
      </c>
      <c r="L688" s="110" t="str">
        <f t="shared" si="145"/>
        <v/>
      </c>
      <c r="M688" s="110" t="str">
        <f t="shared" si="145"/>
        <v/>
      </c>
      <c r="N688" s="110" t="str">
        <f>IF(N676="","",N676-SUM(N677:N684))</f>
        <v/>
      </c>
      <c r="O688" s="110">
        <f>IF(O676="","",O676-SUM(O677:O684))</f>
        <v>432717</v>
      </c>
    </row>
    <row r="689" spans="1:15" ht="16.5" customHeight="1" thickBot="1" x14ac:dyDescent="0.2">
      <c r="A689" s="248"/>
      <c r="B689" s="170" t="s">
        <v>160</v>
      </c>
      <c r="C689" s="112">
        <f t="shared" ref="C689:O689" si="146">IF(C676="","",IF(C676=0,"―     ",C688/C676))</f>
        <v>0.2223910422049957</v>
      </c>
      <c r="D689" s="112">
        <v>0.22542328042328041</v>
      </c>
      <c r="E689" s="112">
        <v>1</v>
      </c>
      <c r="F689" s="112" t="s">
        <v>181</v>
      </c>
      <c r="G689" s="112" t="s">
        <v>181</v>
      </c>
      <c r="H689" s="112" t="str">
        <f t="shared" si="146"/>
        <v/>
      </c>
      <c r="I689" s="112" t="str">
        <f t="shared" si="146"/>
        <v/>
      </c>
      <c r="J689" s="112" t="str">
        <f t="shared" si="146"/>
        <v/>
      </c>
      <c r="K689" s="112" t="str">
        <f t="shared" si="146"/>
        <v/>
      </c>
      <c r="L689" s="112" t="str">
        <f t="shared" si="146"/>
        <v/>
      </c>
      <c r="M689" s="112" t="str">
        <f t="shared" si="146"/>
        <v/>
      </c>
      <c r="N689" s="112" t="str">
        <f t="shared" si="146"/>
        <v/>
      </c>
      <c r="O689" s="112">
        <f t="shared" si="146"/>
        <v>0.4847555032767602</v>
      </c>
    </row>
    <row r="690" spans="1:15" ht="16.5" customHeight="1" x14ac:dyDescent="0.15">
      <c r="A690" s="251"/>
      <c r="B690" s="164" t="s">
        <v>21</v>
      </c>
      <c r="C690" s="102">
        <v>290250</v>
      </c>
      <c r="D690" s="102">
        <v>25500</v>
      </c>
      <c r="E690" s="102">
        <v>679150</v>
      </c>
      <c r="F690" s="102">
        <v>1167900</v>
      </c>
      <c r="G690" s="102">
        <v>1477087</v>
      </c>
      <c r="H690" s="102"/>
      <c r="I690" s="102"/>
      <c r="J690" s="102"/>
      <c r="K690" s="102"/>
      <c r="L690" s="102"/>
      <c r="M690" s="102"/>
      <c r="N690" s="102"/>
      <c r="O690" s="103">
        <f>SUM(C690:N690)</f>
        <v>3639887</v>
      </c>
    </row>
    <row r="691" spans="1:15" ht="16.5" customHeight="1" x14ac:dyDescent="0.15">
      <c r="A691" s="247"/>
      <c r="B691" s="166" t="s">
        <v>155</v>
      </c>
      <c r="C691" s="105">
        <v>176000</v>
      </c>
      <c r="D691" s="105">
        <v>14250</v>
      </c>
      <c r="E691" s="105">
        <v>379527</v>
      </c>
      <c r="F691" s="105">
        <v>660788</v>
      </c>
      <c r="G691" s="105">
        <v>851500</v>
      </c>
      <c r="H691" s="105"/>
      <c r="I691" s="105"/>
      <c r="J691" s="105"/>
      <c r="K691" s="105"/>
      <c r="L691" s="105"/>
      <c r="M691" s="105"/>
      <c r="N691" s="105"/>
      <c r="O691" s="105">
        <f t="shared" ref="O691:O699" si="147">SUM(C691:N691)</f>
        <v>2082065</v>
      </c>
    </row>
    <row r="692" spans="1:15" ht="16.5" customHeight="1" x14ac:dyDescent="0.15">
      <c r="A692" s="247"/>
      <c r="B692" s="166" t="s">
        <v>156</v>
      </c>
      <c r="C692" s="105">
        <v>0</v>
      </c>
      <c r="D692" s="105">
        <v>0</v>
      </c>
      <c r="E692" s="105">
        <v>0</v>
      </c>
      <c r="F692" s="105">
        <v>0</v>
      </c>
      <c r="G692" s="105">
        <v>0</v>
      </c>
      <c r="H692" s="105"/>
      <c r="I692" s="105"/>
      <c r="J692" s="105"/>
      <c r="K692" s="105"/>
      <c r="L692" s="105"/>
      <c r="M692" s="105"/>
      <c r="N692" s="105"/>
      <c r="O692" s="105">
        <f t="shared" si="147"/>
        <v>0</v>
      </c>
    </row>
    <row r="693" spans="1:15" ht="16.5" customHeight="1" x14ac:dyDescent="0.15">
      <c r="A693" s="247"/>
      <c r="B693" s="166" t="s">
        <v>26</v>
      </c>
      <c r="C693" s="105">
        <v>18400</v>
      </c>
      <c r="D693" s="105">
        <v>0</v>
      </c>
      <c r="E693" s="105">
        <v>3240</v>
      </c>
      <c r="F693" s="105">
        <v>24640</v>
      </c>
      <c r="G693" s="105">
        <v>36560</v>
      </c>
      <c r="H693" s="105"/>
      <c r="I693" s="105"/>
      <c r="J693" s="105"/>
      <c r="K693" s="105"/>
      <c r="L693" s="105"/>
      <c r="M693" s="105"/>
      <c r="N693" s="105"/>
      <c r="O693" s="105">
        <f t="shared" si="147"/>
        <v>82840</v>
      </c>
    </row>
    <row r="694" spans="1:15" ht="16.5" customHeight="1" x14ac:dyDescent="0.15">
      <c r="A694" s="247"/>
      <c r="B694" s="166" t="s">
        <v>66</v>
      </c>
      <c r="C694" s="106">
        <v>1375</v>
      </c>
      <c r="D694" s="105">
        <v>0</v>
      </c>
      <c r="E694" s="105">
        <v>0</v>
      </c>
      <c r="F694" s="105">
        <v>0</v>
      </c>
      <c r="G694" s="105">
        <v>1875</v>
      </c>
      <c r="H694" s="105"/>
      <c r="I694" s="106"/>
      <c r="J694" s="106"/>
      <c r="K694" s="106"/>
      <c r="L694" s="106"/>
      <c r="M694" s="106"/>
      <c r="N694" s="106"/>
      <c r="O694" s="105">
        <f t="shared" si="147"/>
        <v>3250</v>
      </c>
    </row>
    <row r="695" spans="1:15" ht="16.5" customHeight="1" x14ac:dyDescent="0.15">
      <c r="A695" s="247"/>
      <c r="B695" s="166" t="s">
        <v>22</v>
      </c>
      <c r="C695" s="105">
        <v>10060</v>
      </c>
      <c r="D695" s="105">
        <v>0</v>
      </c>
      <c r="E695" s="105">
        <v>0</v>
      </c>
      <c r="F695" s="105">
        <v>8048</v>
      </c>
      <c r="G695" s="105">
        <v>24144</v>
      </c>
      <c r="H695" s="105"/>
      <c r="I695" s="105"/>
      <c r="J695" s="105"/>
      <c r="K695" s="105"/>
      <c r="L695" s="105"/>
      <c r="M695" s="105"/>
      <c r="N695" s="105"/>
      <c r="O695" s="105">
        <f t="shared" si="147"/>
        <v>42252</v>
      </c>
    </row>
    <row r="696" spans="1:15" ht="16.5" customHeight="1" x14ac:dyDescent="0.15">
      <c r="A696" s="247"/>
      <c r="B696" s="166" t="s">
        <v>67</v>
      </c>
      <c r="C696" s="105">
        <v>1550</v>
      </c>
      <c r="D696" s="105">
        <v>0</v>
      </c>
      <c r="E696" s="105">
        <v>0</v>
      </c>
      <c r="F696" s="105">
        <v>1240</v>
      </c>
      <c r="G696" s="105">
        <v>2480</v>
      </c>
      <c r="H696" s="105"/>
      <c r="I696" s="105"/>
      <c r="J696" s="105"/>
      <c r="K696" s="105"/>
      <c r="L696" s="105"/>
      <c r="M696" s="105"/>
      <c r="N696" s="105"/>
      <c r="O696" s="105">
        <f t="shared" si="147"/>
        <v>5270</v>
      </c>
    </row>
    <row r="697" spans="1:15" ht="16.5" customHeight="1" x14ac:dyDescent="0.15">
      <c r="A697" s="247"/>
      <c r="B697" s="166" t="s">
        <v>23</v>
      </c>
      <c r="C697" s="105">
        <v>16766</v>
      </c>
      <c r="D697" s="105">
        <v>0</v>
      </c>
      <c r="E697" s="105">
        <v>0</v>
      </c>
      <c r="F697" s="105">
        <v>13413</v>
      </c>
      <c r="G697" s="105">
        <v>40239</v>
      </c>
      <c r="H697" s="105"/>
      <c r="I697" s="105"/>
      <c r="J697" s="105"/>
      <c r="K697" s="105"/>
      <c r="L697" s="105"/>
      <c r="M697" s="105"/>
      <c r="N697" s="105"/>
      <c r="O697" s="105">
        <f t="shared" si="147"/>
        <v>70418</v>
      </c>
    </row>
    <row r="698" spans="1:15" ht="16.5" customHeight="1" x14ac:dyDescent="0.15">
      <c r="A698" s="247"/>
      <c r="B698" s="166" t="s">
        <v>157</v>
      </c>
      <c r="C698" s="105">
        <v>1550</v>
      </c>
      <c r="D698" s="105">
        <v>121</v>
      </c>
      <c r="E698" s="105">
        <v>3255</v>
      </c>
      <c r="F698" s="105">
        <v>5826</v>
      </c>
      <c r="G698" s="105">
        <v>7563</v>
      </c>
      <c r="H698" s="105"/>
      <c r="I698" s="105"/>
      <c r="J698" s="105"/>
      <c r="K698" s="105"/>
      <c r="L698" s="105"/>
      <c r="M698" s="105"/>
      <c r="N698" s="105"/>
      <c r="O698" s="105">
        <f t="shared" si="147"/>
        <v>18315</v>
      </c>
    </row>
    <row r="699" spans="1:15" ht="16.5" customHeight="1" x14ac:dyDescent="0.15">
      <c r="A699" s="247"/>
      <c r="B699" s="166" t="s">
        <v>158</v>
      </c>
      <c r="C699" s="105">
        <v>195775</v>
      </c>
      <c r="D699" s="105">
        <v>14250</v>
      </c>
      <c r="E699" s="105">
        <v>382767</v>
      </c>
      <c r="F699" s="105">
        <v>685428</v>
      </c>
      <c r="G699" s="105">
        <v>889935</v>
      </c>
      <c r="H699" s="105"/>
      <c r="I699" s="105"/>
      <c r="J699" s="105"/>
      <c r="K699" s="105"/>
      <c r="L699" s="105"/>
      <c r="M699" s="105"/>
      <c r="N699" s="105"/>
      <c r="O699" s="105">
        <f t="shared" si="147"/>
        <v>2168155</v>
      </c>
    </row>
    <row r="700" spans="1:15" ht="16.5" customHeight="1" x14ac:dyDescent="0.15">
      <c r="A700" s="247"/>
      <c r="B700" s="171"/>
      <c r="C700" s="107"/>
      <c r="D700" s="107">
        <v>1</v>
      </c>
      <c r="E700" s="107">
        <v>4</v>
      </c>
      <c r="F700" s="107">
        <v>5</v>
      </c>
      <c r="G700" s="107">
        <v>6</v>
      </c>
      <c r="H700" s="107"/>
      <c r="I700" s="107"/>
      <c r="J700" s="107"/>
      <c r="K700" s="107"/>
      <c r="L700" s="107"/>
      <c r="M700" s="107"/>
      <c r="N700" s="107"/>
      <c r="O700" s="107"/>
    </row>
    <row r="701" spans="1:15" ht="16.5" customHeight="1" thickBot="1" x14ac:dyDescent="0.2">
      <c r="A701" s="247"/>
      <c r="B701" s="171" t="s">
        <v>161</v>
      </c>
      <c r="C701" s="107">
        <v>0</v>
      </c>
      <c r="D701" s="107">
        <v>0</v>
      </c>
      <c r="E701" s="107">
        <v>0</v>
      </c>
      <c r="F701" s="107">
        <v>0</v>
      </c>
      <c r="G701" s="107">
        <v>0</v>
      </c>
      <c r="H701" s="107"/>
      <c r="I701" s="107"/>
      <c r="J701" s="107"/>
      <c r="K701" s="107"/>
      <c r="L701" s="107"/>
      <c r="M701" s="107"/>
      <c r="N701" s="107"/>
      <c r="O701" s="168">
        <f>SUM(C701:N701)</f>
        <v>0</v>
      </c>
    </row>
    <row r="702" spans="1:15" ht="16.5" customHeight="1" thickTop="1" x14ac:dyDescent="0.15">
      <c r="A702" s="247"/>
      <c r="B702" s="169" t="s">
        <v>159</v>
      </c>
      <c r="C702" s="110">
        <f>IF(C690="","",C690-SUM(C691:C698))</f>
        <v>64549</v>
      </c>
      <c r="D702" s="110">
        <v>11129</v>
      </c>
      <c r="E702" s="110">
        <v>293128</v>
      </c>
      <c r="F702" s="110">
        <v>453945</v>
      </c>
      <c r="G702" s="110">
        <v>512726</v>
      </c>
      <c r="H702" s="110" t="str">
        <f t="shared" ref="H702:M702" si="148">IF(H690="","",H690-SUM(H691:H698))</f>
        <v/>
      </c>
      <c r="I702" s="110" t="str">
        <f t="shared" si="148"/>
        <v/>
      </c>
      <c r="J702" s="110" t="str">
        <f t="shared" si="148"/>
        <v/>
      </c>
      <c r="K702" s="110" t="str">
        <f t="shared" si="148"/>
        <v/>
      </c>
      <c r="L702" s="110" t="str">
        <f t="shared" si="148"/>
        <v/>
      </c>
      <c r="M702" s="110" t="str">
        <f t="shared" si="148"/>
        <v/>
      </c>
      <c r="N702" s="110" t="str">
        <f>IF(N690="","",N690-SUM(N691:N698))</f>
        <v/>
      </c>
      <c r="O702" s="110">
        <f>IF(O690="","",O690-SUM(O691:O698))</f>
        <v>1335477</v>
      </c>
    </row>
    <row r="703" spans="1:15" ht="16.5" customHeight="1" thickBot="1" x14ac:dyDescent="0.2">
      <c r="A703" s="248"/>
      <c r="B703" s="170" t="s">
        <v>160</v>
      </c>
      <c r="C703" s="112">
        <f t="shared" ref="C703:O703" si="149">IF(C690="","",IF(C690=0,"―     ",C702/C690))</f>
        <v>0.2223910422049957</v>
      </c>
      <c r="D703" s="112">
        <v>0.43643137254901959</v>
      </c>
      <c r="E703" s="112">
        <v>0.4316101008613708</v>
      </c>
      <c r="F703" s="112">
        <v>0.38868481890572826</v>
      </c>
      <c r="G703" s="112">
        <v>0.34711970249551988</v>
      </c>
      <c r="H703" s="112" t="str">
        <f t="shared" si="149"/>
        <v/>
      </c>
      <c r="I703" s="112" t="str">
        <f t="shared" si="149"/>
        <v/>
      </c>
      <c r="J703" s="112" t="str">
        <f t="shared" si="149"/>
        <v/>
      </c>
      <c r="K703" s="112" t="str">
        <f t="shared" si="149"/>
        <v/>
      </c>
      <c r="L703" s="112" t="str">
        <f t="shared" si="149"/>
        <v/>
      </c>
      <c r="M703" s="112" t="str">
        <f t="shared" si="149"/>
        <v/>
      </c>
      <c r="N703" s="112" t="str">
        <f t="shared" si="149"/>
        <v/>
      </c>
      <c r="O703" s="112">
        <f t="shared" si="149"/>
        <v>0.36690067576273661</v>
      </c>
    </row>
    <row r="704" spans="1:15" ht="16.5" customHeight="1" x14ac:dyDescent="0.15">
      <c r="A704" s="251"/>
      <c r="B704" s="164" t="s">
        <v>21</v>
      </c>
      <c r="C704" s="102"/>
      <c r="D704" s="102"/>
      <c r="E704" s="102">
        <v>217200</v>
      </c>
      <c r="F704" s="102">
        <v>227600</v>
      </c>
      <c r="G704" s="102">
        <v>224000</v>
      </c>
      <c r="H704" s="102"/>
      <c r="I704" s="102"/>
      <c r="J704" s="102"/>
      <c r="K704" s="102"/>
      <c r="L704" s="102"/>
      <c r="M704" s="102"/>
      <c r="N704" s="102"/>
      <c r="O704" s="103">
        <f>SUM(C704:N704)</f>
        <v>668800</v>
      </c>
    </row>
    <row r="705" spans="1:15" ht="16.5" customHeight="1" x14ac:dyDescent="0.15">
      <c r="A705" s="247"/>
      <c r="B705" s="166" t="s">
        <v>155</v>
      </c>
      <c r="C705" s="105"/>
      <c r="D705" s="105"/>
      <c r="E705" s="105">
        <v>128963</v>
      </c>
      <c r="F705" s="105">
        <v>135138</v>
      </c>
      <c r="G705" s="105">
        <v>140000</v>
      </c>
      <c r="H705" s="105"/>
      <c r="I705" s="105"/>
      <c r="J705" s="105"/>
      <c r="K705" s="105"/>
      <c r="L705" s="105"/>
      <c r="M705" s="105"/>
      <c r="N705" s="105"/>
      <c r="O705" s="105">
        <f t="shared" ref="O705:O713" si="150">SUM(C705:N705)</f>
        <v>404101</v>
      </c>
    </row>
    <row r="706" spans="1:15" ht="16.5" customHeight="1" x14ac:dyDescent="0.15">
      <c r="A706" s="247"/>
      <c r="B706" s="166" t="s">
        <v>156</v>
      </c>
      <c r="C706" s="105"/>
      <c r="D706" s="105"/>
      <c r="E706" s="105">
        <v>0</v>
      </c>
      <c r="F706" s="105">
        <v>0</v>
      </c>
      <c r="G706" s="105">
        <v>0</v>
      </c>
      <c r="H706" s="105"/>
      <c r="I706" s="105"/>
      <c r="J706" s="105"/>
      <c r="K706" s="105"/>
      <c r="L706" s="105"/>
      <c r="M706" s="105"/>
      <c r="N706" s="105"/>
      <c r="O706" s="105">
        <f t="shared" si="150"/>
        <v>0</v>
      </c>
    </row>
    <row r="707" spans="1:15" ht="16.5" customHeight="1" x14ac:dyDescent="0.15">
      <c r="A707" s="247"/>
      <c r="B707" s="166" t="s">
        <v>26</v>
      </c>
      <c r="C707" s="105"/>
      <c r="D707" s="105"/>
      <c r="E707" s="105">
        <v>14400</v>
      </c>
      <c r="F707" s="105">
        <v>15120</v>
      </c>
      <c r="G707" s="105">
        <v>14400</v>
      </c>
      <c r="H707" s="105"/>
      <c r="I707" s="105"/>
      <c r="J707" s="105"/>
      <c r="K707" s="105"/>
      <c r="L707" s="105"/>
      <c r="M707" s="105"/>
      <c r="N707" s="105"/>
      <c r="O707" s="105">
        <f t="shared" si="150"/>
        <v>43920</v>
      </c>
    </row>
    <row r="708" spans="1:15" ht="16.5" customHeight="1" x14ac:dyDescent="0.15">
      <c r="A708" s="247"/>
      <c r="B708" s="166" t="s">
        <v>66</v>
      </c>
      <c r="C708" s="106"/>
      <c r="D708" s="105"/>
      <c r="E708" s="105">
        <v>0</v>
      </c>
      <c r="F708" s="105">
        <v>0</v>
      </c>
      <c r="G708" s="105">
        <v>0</v>
      </c>
      <c r="H708" s="105"/>
      <c r="I708" s="106"/>
      <c r="J708" s="106"/>
      <c r="K708" s="106"/>
      <c r="L708" s="106"/>
      <c r="M708" s="106"/>
      <c r="N708" s="106"/>
      <c r="O708" s="105">
        <f t="shared" si="150"/>
        <v>0</v>
      </c>
    </row>
    <row r="709" spans="1:15" ht="16.5" customHeight="1" x14ac:dyDescent="0.15">
      <c r="A709" s="247"/>
      <c r="B709" s="166" t="s">
        <v>22</v>
      </c>
      <c r="C709" s="105"/>
      <c r="D709" s="105"/>
      <c r="E709" s="105">
        <v>0</v>
      </c>
      <c r="F709" s="105">
        <v>0</v>
      </c>
      <c r="G709" s="105">
        <v>8048</v>
      </c>
      <c r="H709" s="105"/>
      <c r="I709" s="105"/>
      <c r="J709" s="105"/>
      <c r="K709" s="105"/>
      <c r="L709" s="105"/>
      <c r="M709" s="105"/>
      <c r="N709" s="105"/>
      <c r="O709" s="105">
        <f t="shared" si="150"/>
        <v>8048</v>
      </c>
    </row>
    <row r="710" spans="1:15" ht="16.5" customHeight="1" x14ac:dyDescent="0.15">
      <c r="A710" s="247"/>
      <c r="B710" s="166" t="s">
        <v>67</v>
      </c>
      <c r="C710" s="105"/>
      <c r="D710" s="105"/>
      <c r="E710" s="105">
        <v>0</v>
      </c>
      <c r="F710" s="105">
        <v>0</v>
      </c>
      <c r="G710" s="105">
        <v>1240</v>
      </c>
      <c r="H710" s="105"/>
      <c r="I710" s="105"/>
      <c r="J710" s="105"/>
      <c r="K710" s="105"/>
      <c r="L710" s="105"/>
      <c r="M710" s="105"/>
      <c r="N710" s="105"/>
      <c r="O710" s="105">
        <f t="shared" si="150"/>
        <v>1240</v>
      </c>
    </row>
    <row r="711" spans="1:15" ht="16.5" customHeight="1" x14ac:dyDescent="0.15">
      <c r="A711" s="247"/>
      <c r="B711" s="166" t="s">
        <v>23</v>
      </c>
      <c r="C711" s="105"/>
      <c r="D711" s="105"/>
      <c r="E711" s="105">
        <v>0</v>
      </c>
      <c r="F711" s="105">
        <v>0</v>
      </c>
      <c r="G711" s="105">
        <v>13413</v>
      </c>
      <c r="H711" s="105"/>
      <c r="I711" s="105"/>
      <c r="J711" s="105"/>
      <c r="K711" s="105"/>
      <c r="L711" s="105"/>
      <c r="M711" s="105"/>
      <c r="N711" s="105"/>
      <c r="O711" s="105">
        <f t="shared" si="150"/>
        <v>13413</v>
      </c>
    </row>
    <row r="712" spans="1:15" ht="16.5" customHeight="1" x14ac:dyDescent="0.15">
      <c r="A712" s="247"/>
      <c r="B712" s="166" t="s">
        <v>157</v>
      </c>
      <c r="C712" s="105"/>
      <c r="D712" s="105"/>
      <c r="E712" s="105">
        <v>1219</v>
      </c>
      <c r="F712" s="105">
        <v>1277</v>
      </c>
      <c r="G712" s="105">
        <v>1312</v>
      </c>
      <c r="H712" s="105"/>
      <c r="I712" s="105"/>
      <c r="J712" s="105"/>
      <c r="K712" s="105"/>
      <c r="L712" s="105"/>
      <c r="M712" s="105"/>
      <c r="N712" s="105"/>
      <c r="O712" s="105">
        <f t="shared" si="150"/>
        <v>3808</v>
      </c>
    </row>
    <row r="713" spans="1:15" ht="16.5" customHeight="1" x14ac:dyDescent="0.15">
      <c r="A713" s="247"/>
      <c r="B713" s="166" t="s">
        <v>158</v>
      </c>
      <c r="C713" s="105"/>
      <c r="D713" s="105"/>
      <c r="E713" s="105">
        <v>143363</v>
      </c>
      <c r="F713" s="105">
        <v>150258</v>
      </c>
      <c r="G713" s="105">
        <v>154400</v>
      </c>
      <c r="H713" s="105"/>
      <c r="I713" s="105"/>
      <c r="J713" s="105"/>
      <c r="K713" s="105"/>
      <c r="L713" s="105"/>
      <c r="M713" s="105"/>
      <c r="N713" s="105"/>
      <c r="O713" s="105">
        <f t="shared" si="150"/>
        <v>448021</v>
      </c>
    </row>
    <row r="714" spans="1:15" ht="16.5" customHeight="1" x14ac:dyDescent="0.15">
      <c r="A714" s="247"/>
      <c r="B714" s="171"/>
      <c r="C714" s="107"/>
      <c r="D714" s="107"/>
      <c r="E714" s="107">
        <v>1</v>
      </c>
      <c r="F714" s="107">
        <v>1</v>
      </c>
      <c r="G714" s="107">
        <v>1</v>
      </c>
      <c r="H714" s="107"/>
      <c r="I714" s="107"/>
      <c r="J714" s="107"/>
      <c r="K714" s="107"/>
      <c r="L714" s="107"/>
      <c r="M714" s="107"/>
      <c r="N714" s="107"/>
      <c r="O714" s="107"/>
    </row>
    <row r="715" spans="1:15" ht="16.5" customHeight="1" thickBot="1" x14ac:dyDescent="0.2">
      <c r="A715" s="247"/>
      <c r="B715" s="171" t="s">
        <v>161</v>
      </c>
      <c r="C715" s="107"/>
      <c r="D715" s="107"/>
      <c r="E715" s="107">
        <v>0</v>
      </c>
      <c r="F715" s="107">
        <v>0</v>
      </c>
      <c r="G715" s="107">
        <v>0</v>
      </c>
      <c r="H715" s="107"/>
      <c r="I715" s="107"/>
      <c r="J715" s="107"/>
      <c r="K715" s="107"/>
      <c r="L715" s="107"/>
      <c r="M715" s="107"/>
      <c r="N715" s="107"/>
      <c r="O715" s="168">
        <f>SUM(C715:N715)</f>
        <v>0</v>
      </c>
    </row>
    <row r="716" spans="1:15" ht="16.5" customHeight="1" thickTop="1" x14ac:dyDescent="0.15">
      <c r="A716" s="247"/>
      <c r="B716" s="169" t="s">
        <v>159</v>
      </c>
      <c r="C716" s="110"/>
      <c r="D716" s="110"/>
      <c r="E716" s="110">
        <v>72618</v>
      </c>
      <c r="F716" s="110">
        <v>76065</v>
      </c>
      <c r="G716" s="110">
        <v>45587</v>
      </c>
      <c r="H716" s="110" t="str">
        <f t="shared" ref="H716:M716" si="151">IF(H704="","",H704-SUM(H705:H712))</f>
        <v/>
      </c>
      <c r="I716" s="110" t="str">
        <f t="shared" si="151"/>
        <v/>
      </c>
      <c r="J716" s="110" t="str">
        <f t="shared" si="151"/>
        <v/>
      </c>
      <c r="K716" s="110" t="str">
        <f t="shared" si="151"/>
        <v/>
      </c>
      <c r="L716" s="110" t="str">
        <f t="shared" si="151"/>
        <v/>
      </c>
      <c r="M716" s="110" t="str">
        <f t="shared" si="151"/>
        <v/>
      </c>
      <c r="N716" s="110" t="str">
        <f>IF(N704="","",N704-SUM(N705:N712))</f>
        <v/>
      </c>
      <c r="O716" s="110">
        <f>IF(O704="","",O704-SUM(O705:O712))</f>
        <v>194270</v>
      </c>
    </row>
    <row r="717" spans="1:15" ht="16.5" customHeight="1" thickBot="1" x14ac:dyDescent="0.2">
      <c r="A717" s="248"/>
      <c r="B717" s="170" t="s">
        <v>160</v>
      </c>
      <c r="C717" s="112"/>
      <c r="D717" s="112"/>
      <c r="E717" s="112">
        <v>0.33433701657458564</v>
      </c>
      <c r="F717" s="112">
        <v>0.33420474516695958</v>
      </c>
      <c r="G717" s="112">
        <v>0.20351339285714284</v>
      </c>
      <c r="H717" s="112" t="str">
        <f t="shared" ref="H717:O717" si="152">IF(H704="","",IF(H704=0,"―     ",H716/H704))</f>
        <v/>
      </c>
      <c r="I717" s="112" t="str">
        <f t="shared" si="152"/>
        <v/>
      </c>
      <c r="J717" s="112" t="str">
        <f t="shared" si="152"/>
        <v/>
      </c>
      <c r="K717" s="112" t="str">
        <f t="shared" si="152"/>
        <v/>
      </c>
      <c r="L717" s="112" t="str">
        <f t="shared" si="152"/>
        <v/>
      </c>
      <c r="M717" s="112" t="str">
        <f t="shared" si="152"/>
        <v/>
      </c>
      <c r="N717" s="112" t="str">
        <f t="shared" si="152"/>
        <v/>
      </c>
      <c r="O717" s="112">
        <f t="shared" si="152"/>
        <v>0.29047547846889954</v>
      </c>
    </row>
    <row r="718" spans="1:15" ht="16.5" customHeight="1" x14ac:dyDescent="0.15">
      <c r="A718" s="251"/>
      <c r="B718" s="164" t="s">
        <v>21</v>
      </c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3">
        <f>SUM(C718:N718)</f>
        <v>0</v>
      </c>
    </row>
    <row r="719" spans="1:15" ht="16.5" customHeight="1" x14ac:dyDescent="0.15">
      <c r="A719" s="247"/>
      <c r="B719" s="166" t="s">
        <v>155</v>
      </c>
      <c r="C719" s="105"/>
      <c r="D719" s="105"/>
      <c r="E719" s="105">
        <v>0</v>
      </c>
      <c r="F719" s="105">
        <v>0</v>
      </c>
      <c r="G719" s="105">
        <v>0</v>
      </c>
      <c r="H719" s="105"/>
      <c r="I719" s="105"/>
      <c r="J719" s="105"/>
      <c r="K719" s="105"/>
      <c r="L719" s="105"/>
      <c r="M719" s="105"/>
      <c r="N719" s="105"/>
      <c r="O719" s="105">
        <f t="shared" ref="O719:O727" si="153">SUM(C719:N719)</f>
        <v>0</v>
      </c>
    </row>
    <row r="720" spans="1:15" ht="16.5" customHeight="1" x14ac:dyDescent="0.15">
      <c r="A720" s="247"/>
      <c r="B720" s="166" t="s">
        <v>156</v>
      </c>
      <c r="C720" s="105"/>
      <c r="D720" s="105"/>
      <c r="E720" s="105">
        <v>0</v>
      </c>
      <c r="F720" s="105">
        <v>0</v>
      </c>
      <c r="G720" s="105">
        <v>0</v>
      </c>
      <c r="H720" s="105"/>
      <c r="I720" s="105"/>
      <c r="J720" s="105"/>
      <c r="K720" s="105"/>
      <c r="L720" s="105"/>
      <c r="M720" s="105"/>
      <c r="N720" s="105"/>
      <c r="O720" s="105">
        <f t="shared" si="153"/>
        <v>0</v>
      </c>
    </row>
    <row r="721" spans="1:15" ht="16.5" customHeight="1" x14ac:dyDescent="0.15">
      <c r="A721" s="247"/>
      <c r="B721" s="166" t="s">
        <v>26</v>
      </c>
      <c r="C721" s="105"/>
      <c r="D721" s="105"/>
      <c r="E721" s="105">
        <v>0</v>
      </c>
      <c r="F721" s="105">
        <v>0</v>
      </c>
      <c r="G721" s="105">
        <v>0</v>
      </c>
      <c r="H721" s="105"/>
      <c r="I721" s="105"/>
      <c r="J721" s="105"/>
      <c r="K721" s="105"/>
      <c r="L721" s="105"/>
      <c r="M721" s="105"/>
      <c r="N721" s="105"/>
      <c r="O721" s="105">
        <f t="shared" si="153"/>
        <v>0</v>
      </c>
    </row>
    <row r="722" spans="1:15" ht="16.5" customHeight="1" x14ac:dyDescent="0.15">
      <c r="A722" s="247"/>
      <c r="B722" s="166" t="s">
        <v>66</v>
      </c>
      <c r="C722" s="106"/>
      <c r="D722" s="105"/>
      <c r="E722" s="105">
        <v>0</v>
      </c>
      <c r="F722" s="105">
        <v>0</v>
      </c>
      <c r="G722" s="105">
        <v>0</v>
      </c>
      <c r="H722" s="105"/>
      <c r="I722" s="106"/>
      <c r="J722" s="106"/>
      <c r="K722" s="106"/>
      <c r="L722" s="106"/>
      <c r="M722" s="106"/>
      <c r="N722" s="106"/>
      <c r="O722" s="105">
        <f t="shared" si="153"/>
        <v>0</v>
      </c>
    </row>
    <row r="723" spans="1:15" ht="16.5" customHeight="1" x14ac:dyDescent="0.15">
      <c r="A723" s="247"/>
      <c r="B723" s="166" t="s">
        <v>22</v>
      </c>
      <c r="C723" s="105"/>
      <c r="D723" s="105"/>
      <c r="E723" s="105">
        <v>8048</v>
      </c>
      <c r="F723" s="105">
        <v>8048</v>
      </c>
      <c r="G723" s="105">
        <v>8048</v>
      </c>
      <c r="H723" s="105"/>
      <c r="I723" s="105"/>
      <c r="J723" s="105"/>
      <c r="K723" s="105"/>
      <c r="L723" s="105"/>
      <c r="M723" s="105"/>
      <c r="N723" s="105"/>
      <c r="O723" s="105">
        <f t="shared" si="153"/>
        <v>24144</v>
      </c>
    </row>
    <row r="724" spans="1:15" ht="16.5" customHeight="1" x14ac:dyDescent="0.15">
      <c r="A724" s="247"/>
      <c r="B724" s="166" t="s">
        <v>67</v>
      </c>
      <c r="C724" s="105"/>
      <c r="D724" s="105"/>
      <c r="E724" s="105">
        <v>0</v>
      </c>
      <c r="F724" s="105">
        <v>0</v>
      </c>
      <c r="G724" s="105">
        <v>0</v>
      </c>
      <c r="H724" s="105"/>
      <c r="I724" s="105"/>
      <c r="J724" s="105"/>
      <c r="K724" s="105"/>
      <c r="L724" s="105"/>
      <c r="M724" s="105"/>
      <c r="N724" s="105"/>
      <c r="O724" s="105">
        <f t="shared" si="153"/>
        <v>0</v>
      </c>
    </row>
    <row r="725" spans="1:15" ht="16.5" customHeight="1" x14ac:dyDescent="0.15">
      <c r="A725" s="247"/>
      <c r="B725" s="166" t="s">
        <v>23</v>
      </c>
      <c r="C725" s="105"/>
      <c r="D725" s="105"/>
      <c r="E725" s="105">
        <v>13413</v>
      </c>
      <c r="F725" s="105">
        <v>13413</v>
      </c>
      <c r="G725" s="105">
        <v>13413</v>
      </c>
      <c r="H725" s="105"/>
      <c r="I725" s="105"/>
      <c r="J725" s="105"/>
      <c r="K725" s="105"/>
      <c r="L725" s="105"/>
      <c r="M725" s="105"/>
      <c r="N725" s="105"/>
      <c r="O725" s="105">
        <f t="shared" si="153"/>
        <v>40239</v>
      </c>
    </row>
    <row r="726" spans="1:15" ht="16.5" customHeight="1" x14ac:dyDescent="0.15">
      <c r="A726" s="247"/>
      <c r="B726" s="166" t="s">
        <v>157</v>
      </c>
      <c r="C726" s="105"/>
      <c r="D726" s="105"/>
      <c r="E726" s="105">
        <v>0</v>
      </c>
      <c r="F726" s="105">
        <v>0</v>
      </c>
      <c r="G726" s="105">
        <v>0</v>
      </c>
      <c r="H726" s="105"/>
      <c r="I726" s="105"/>
      <c r="J726" s="105"/>
      <c r="K726" s="105"/>
      <c r="L726" s="105"/>
      <c r="M726" s="105"/>
      <c r="N726" s="105"/>
      <c r="O726" s="105">
        <f t="shared" si="153"/>
        <v>0</v>
      </c>
    </row>
    <row r="727" spans="1:15" ht="16.5" customHeight="1" x14ac:dyDescent="0.15">
      <c r="A727" s="247"/>
      <c r="B727" s="166" t="s">
        <v>158</v>
      </c>
      <c r="C727" s="105"/>
      <c r="D727" s="105"/>
      <c r="E727" s="105">
        <v>0</v>
      </c>
      <c r="F727" s="105">
        <v>0</v>
      </c>
      <c r="G727" s="105">
        <v>0</v>
      </c>
      <c r="H727" s="105"/>
      <c r="I727" s="105"/>
      <c r="J727" s="105"/>
      <c r="K727" s="105"/>
      <c r="L727" s="105"/>
      <c r="M727" s="105"/>
      <c r="N727" s="105"/>
      <c r="O727" s="105">
        <f t="shared" si="153"/>
        <v>0</v>
      </c>
    </row>
    <row r="728" spans="1:15" ht="16.5" customHeight="1" x14ac:dyDescent="0.15">
      <c r="A728" s="247"/>
      <c r="B728" s="171"/>
      <c r="C728" s="107"/>
      <c r="D728" s="107"/>
      <c r="E728" s="107">
        <v>3</v>
      </c>
      <c r="F728" s="107">
        <v>3</v>
      </c>
      <c r="G728" s="107">
        <v>3</v>
      </c>
      <c r="H728" s="107"/>
      <c r="I728" s="107"/>
      <c r="J728" s="107"/>
      <c r="K728" s="107"/>
      <c r="L728" s="107"/>
      <c r="M728" s="107"/>
      <c r="N728" s="107"/>
      <c r="O728" s="107"/>
    </row>
    <row r="729" spans="1:15" ht="16.5" customHeight="1" thickBot="1" x14ac:dyDescent="0.2">
      <c r="A729" s="247"/>
      <c r="B729" s="171" t="s">
        <v>161</v>
      </c>
      <c r="C729" s="107"/>
      <c r="D729" s="107"/>
      <c r="E729" s="107">
        <v>0</v>
      </c>
      <c r="F729" s="107">
        <v>0</v>
      </c>
      <c r="G729" s="107">
        <v>0</v>
      </c>
      <c r="H729" s="107"/>
      <c r="I729" s="107"/>
      <c r="J729" s="107"/>
      <c r="K729" s="107"/>
      <c r="L729" s="107"/>
      <c r="M729" s="107"/>
      <c r="N729" s="107"/>
      <c r="O729" s="168">
        <f>SUM(C729:N729)</f>
        <v>0</v>
      </c>
    </row>
    <row r="730" spans="1:15" ht="16.5" customHeight="1" thickTop="1" x14ac:dyDescent="0.15">
      <c r="A730" s="247"/>
      <c r="B730" s="169" t="s">
        <v>159</v>
      </c>
      <c r="C730" s="110"/>
      <c r="D730" s="110"/>
      <c r="E730" s="110" t="s">
        <v>181</v>
      </c>
      <c r="F730" s="110" t="s">
        <v>181</v>
      </c>
      <c r="G730" s="110" t="s">
        <v>181</v>
      </c>
      <c r="H730" s="110" t="str">
        <f t="shared" ref="H730:M730" si="154">IF(H718="","",H718-SUM(H719:H726))</f>
        <v/>
      </c>
      <c r="I730" s="110" t="str">
        <f t="shared" si="154"/>
        <v/>
      </c>
      <c r="J730" s="110" t="str">
        <f t="shared" si="154"/>
        <v/>
      </c>
      <c r="K730" s="110" t="str">
        <f t="shared" si="154"/>
        <v/>
      </c>
      <c r="L730" s="110" t="str">
        <f t="shared" si="154"/>
        <v/>
      </c>
      <c r="M730" s="110" t="str">
        <f t="shared" si="154"/>
        <v/>
      </c>
      <c r="N730" s="110" t="str">
        <f>IF(N718="","",N718-SUM(N719:N726))</f>
        <v/>
      </c>
      <c r="O730" s="110">
        <f>IF(O718="","",O718-SUM(O719:O726))</f>
        <v>-64383</v>
      </c>
    </row>
    <row r="731" spans="1:15" ht="16.5" customHeight="1" thickBot="1" x14ac:dyDescent="0.2">
      <c r="A731" s="248"/>
      <c r="B731" s="170" t="s">
        <v>160</v>
      </c>
      <c r="C731" s="112"/>
      <c r="D731" s="112"/>
      <c r="E731" s="112" t="s">
        <v>181</v>
      </c>
      <c r="F731" s="112" t="s">
        <v>181</v>
      </c>
      <c r="G731" s="112" t="s">
        <v>181</v>
      </c>
      <c r="H731" s="112" t="str">
        <f t="shared" ref="H731:O731" si="155">IF(H718="","",IF(H718=0,"―     ",H730/H718))</f>
        <v/>
      </c>
      <c r="I731" s="112" t="str">
        <f t="shared" si="155"/>
        <v/>
      </c>
      <c r="J731" s="112" t="str">
        <f t="shared" si="155"/>
        <v/>
      </c>
      <c r="K731" s="112" t="str">
        <f t="shared" si="155"/>
        <v/>
      </c>
      <c r="L731" s="112" t="str">
        <f t="shared" si="155"/>
        <v/>
      </c>
      <c r="M731" s="112" t="str">
        <f t="shared" si="155"/>
        <v/>
      </c>
      <c r="N731" s="112" t="str">
        <f t="shared" si="155"/>
        <v/>
      </c>
      <c r="O731" s="112" t="str">
        <f t="shared" si="155"/>
        <v xml:space="preserve">―     </v>
      </c>
    </row>
    <row r="732" spans="1:15" ht="16.5" customHeight="1" x14ac:dyDescent="0.15">
      <c r="A732" s="251"/>
      <c r="B732" s="164" t="s">
        <v>21</v>
      </c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3">
        <f>SUM(C732:N732)</f>
        <v>0</v>
      </c>
    </row>
    <row r="733" spans="1:15" ht="16.5" customHeight="1" x14ac:dyDescent="0.15">
      <c r="A733" s="247"/>
      <c r="B733" s="166" t="s">
        <v>155</v>
      </c>
      <c r="C733" s="105"/>
      <c r="D733" s="105"/>
      <c r="E733" s="105"/>
      <c r="F733" s="105"/>
      <c r="G733" s="105"/>
      <c r="H733" s="105"/>
      <c r="I733" s="105"/>
      <c r="J733" s="105"/>
      <c r="K733" s="105"/>
      <c r="L733" s="105"/>
      <c r="M733" s="105"/>
      <c r="N733" s="105"/>
      <c r="O733" s="105">
        <f t="shared" ref="O733:O741" si="156">SUM(C733:N733)</f>
        <v>0</v>
      </c>
    </row>
    <row r="734" spans="1:15" ht="16.5" customHeight="1" x14ac:dyDescent="0.15">
      <c r="A734" s="247"/>
      <c r="B734" s="166" t="s">
        <v>156</v>
      </c>
      <c r="C734" s="105"/>
      <c r="D734" s="105"/>
      <c r="E734" s="105"/>
      <c r="F734" s="105"/>
      <c r="G734" s="105"/>
      <c r="H734" s="105"/>
      <c r="I734" s="105"/>
      <c r="J734" s="105"/>
      <c r="K734" s="105"/>
      <c r="L734" s="105"/>
      <c r="M734" s="105"/>
      <c r="N734" s="105"/>
      <c r="O734" s="105">
        <f t="shared" si="156"/>
        <v>0</v>
      </c>
    </row>
    <row r="735" spans="1:15" ht="16.5" customHeight="1" x14ac:dyDescent="0.15">
      <c r="A735" s="247"/>
      <c r="B735" s="166" t="s">
        <v>26</v>
      </c>
      <c r="C735" s="105"/>
      <c r="D735" s="105"/>
      <c r="E735" s="105"/>
      <c r="F735" s="105"/>
      <c r="G735" s="105"/>
      <c r="H735" s="105"/>
      <c r="I735" s="105"/>
      <c r="J735" s="105"/>
      <c r="K735" s="105"/>
      <c r="L735" s="105"/>
      <c r="M735" s="105"/>
      <c r="N735" s="105"/>
      <c r="O735" s="105">
        <f t="shared" si="156"/>
        <v>0</v>
      </c>
    </row>
    <row r="736" spans="1:15" ht="16.5" customHeight="1" x14ac:dyDescent="0.15">
      <c r="A736" s="247"/>
      <c r="B736" s="166" t="s">
        <v>66</v>
      </c>
      <c r="C736" s="106"/>
      <c r="D736" s="105"/>
      <c r="E736" s="105"/>
      <c r="F736" s="105"/>
      <c r="G736" s="105"/>
      <c r="H736" s="105"/>
      <c r="I736" s="106"/>
      <c r="J736" s="106"/>
      <c r="K736" s="106"/>
      <c r="L736" s="106"/>
      <c r="M736" s="106"/>
      <c r="N736" s="106"/>
      <c r="O736" s="105">
        <f t="shared" si="156"/>
        <v>0</v>
      </c>
    </row>
    <row r="737" spans="1:15" ht="16.5" customHeight="1" x14ac:dyDescent="0.15">
      <c r="A737" s="247"/>
      <c r="B737" s="166" t="s">
        <v>22</v>
      </c>
      <c r="C737" s="105"/>
      <c r="D737" s="105"/>
      <c r="E737" s="105"/>
      <c r="F737" s="105"/>
      <c r="G737" s="105"/>
      <c r="H737" s="105"/>
      <c r="I737" s="105"/>
      <c r="J737" s="105"/>
      <c r="K737" s="105"/>
      <c r="L737" s="105"/>
      <c r="M737" s="105"/>
      <c r="N737" s="105"/>
      <c r="O737" s="105">
        <f t="shared" si="156"/>
        <v>0</v>
      </c>
    </row>
    <row r="738" spans="1:15" ht="16.5" customHeight="1" x14ac:dyDescent="0.15">
      <c r="A738" s="247"/>
      <c r="B738" s="166" t="s">
        <v>67</v>
      </c>
      <c r="C738" s="105"/>
      <c r="D738" s="105"/>
      <c r="E738" s="105"/>
      <c r="F738" s="105"/>
      <c r="G738" s="105"/>
      <c r="H738" s="105"/>
      <c r="I738" s="105"/>
      <c r="J738" s="105"/>
      <c r="K738" s="105"/>
      <c r="L738" s="105"/>
      <c r="M738" s="105"/>
      <c r="N738" s="105"/>
      <c r="O738" s="105">
        <f t="shared" si="156"/>
        <v>0</v>
      </c>
    </row>
    <row r="739" spans="1:15" ht="16.5" customHeight="1" x14ac:dyDescent="0.15">
      <c r="A739" s="247"/>
      <c r="B739" s="166" t="s">
        <v>23</v>
      </c>
      <c r="C739" s="105"/>
      <c r="D739" s="105"/>
      <c r="E739" s="105"/>
      <c r="F739" s="105"/>
      <c r="G739" s="105"/>
      <c r="H739" s="105"/>
      <c r="I739" s="105"/>
      <c r="J739" s="105"/>
      <c r="K739" s="105"/>
      <c r="L739" s="105"/>
      <c r="M739" s="105"/>
      <c r="N739" s="105"/>
      <c r="O739" s="105">
        <f t="shared" si="156"/>
        <v>0</v>
      </c>
    </row>
    <row r="740" spans="1:15" ht="16.5" customHeight="1" x14ac:dyDescent="0.15">
      <c r="A740" s="247"/>
      <c r="B740" s="166" t="s">
        <v>157</v>
      </c>
      <c r="C740" s="105"/>
      <c r="D740" s="105"/>
      <c r="E740" s="105"/>
      <c r="F740" s="105"/>
      <c r="G740" s="105"/>
      <c r="H740" s="105"/>
      <c r="I740" s="105"/>
      <c r="J740" s="105"/>
      <c r="K740" s="105"/>
      <c r="L740" s="105"/>
      <c r="M740" s="105"/>
      <c r="N740" s="105"/>
      <c r="O740" s="105">
        <f t="shared" si="156"/>
        <v>0</v>
      </c>
    </row>
    <row r="741" spans="1:15" ht="16.5" customHeight="1" x14ac:dyDescent="0.15">
      <c r="A741" s="247"/>
      <c r="B741" s="166" t="s">
        <v>158</v>
      </c>
      <c r="C741" s="105"/>
      <c r="D741" s="105"/>
      <c r="E741" s="105"/>
      <c r="F741" s="105"/>
      <c r="G741" s="105"/>
      <c r="H741" s="105"/>
      <c r="I741" s="105"/>
      <c r="J741" s="105"/>
      <c r="K741" s="105"/>
      <c r="L741" s="105"/>
      <c r="M741" s="105"/>
      <c r="N741" s="105"/>
      <c r="O741" s="105">
        <f t="shared" si="156"/>
        <v>0</v>
      </c>
    </row>
    <row r="742" spans="1:15" ht="16.5" customHeight="1" x14ac:dyDescent="0.15">
      <c r="A742" s="247"/>
      <c r="B742" s="171"/>
      <c r="C742" s="107"/>
      <c r="D742" s="107"/>
      <c r="E742" s="107"/>
      <c r="F742" s="107"/>
      <c r="G742" s="107"/>
      <c r="H742" s="107"/>
      <c r="I742" s="107"/>
      <c r="J742" s="107"/>
      <c r="K742" s="107"/>
      <c r="L742" s="107"/>
      <c r="M742" s="107"/>
      <c r="N742" s="107"/>
      <c r="O742" s="107"/>
    </row>
    <row r="743" spans="1:15" ht="16.5" customHeight="1" thickBot="1" x14ac:dyDescent="0.2">
      <c r="A743" s="247"/>
      <c r="B743" s="171" t="s">
        <v>161</v>
      </c>
      <c r="C743" s="107"/>
      <c r="D743" s="107"/>
      <c r="E743" s="107"/>
      <c r="F743" s="107"/>
      <c r="G743" s="107"/>
      <c r="H743" s="107"/>
      <c r="I743" s="107"/>
      <c r="J743" s="107"/>
      <c r="K743" s="107"/>
      <c r="L743" s="107"/>
      <c r="M743" s="107"/>
      <c r="N743" s="107"/>
      <c r="O743" s="168">
        <f>SUM(C743:N743)</f>
        <v>0</v>
      </c>
    </row>
    <row r="744" spans="1:15" ht="16.5" customHeight="1" thickTop="1" x14ac:dyDescent="0.15">
      <c r="A744" s="247"/>
      <c r="B744" s="169" t="s">
        <v>159</v>
      </c>
      <c r="C744" s="110"/>
      <c r="D744" s="110"/>
      <c r="E744" s="110" t="s">
        <v>181</v>
      </c>
      <c r="F744" s="110"/>
      <c r="G744" s="110"/>
      <c r="H744" s="110" t="str">
        <f t="shared" ref="H744:M744" si="157">IF(H732="","",H732-SUM(H733:H740))</f>
        <v/>
      </c>
      <c r="I744" s="110" t="str">
        <f t="shared" si="157"/>
        <v/>
      </c>
      <c r="J744" s="110" t="str">
        <f t="shared" si="157"/>
        <v/>
      </c>
      <c r="K744" s="110" t="str">
        <f t="shared" si="157"/>
        <v/>
      </c>
      <c r="L744" s="110" t="str">
        <f t="shared" si="157"/>
        <v/>
      </c>
      <c r="M744" s="110" t="str">
        <f t="shared" si="157"/>
        <v/>
      </c>
      <c r="N744" s="110" t="str">
        <f>IF(N732="","",N732-SUM(N733:N740))</f>
        <v/>
      </c>
      <c r="O744" s="110">
        <f>IF(O732="","",O732-SUM(O733:O740))</f>
        <v>0</v>
      </c>
    </row>
    <row r="745" spans="1:15" ht="16.5" customHeight="1" thickBot="1" x14ac:dyDescent="0.2">
      <c r="A745" s="248"/>
      <c r="B745" s="170" t="s">
        <v>160</v>
      </c>
      <c r="C745" s="112"/>
      <c r="D745" s="112"/>
      <c r="E745" s="112" t="s">
        <v>181</v>
      </c>
      <c r="F745" s="112"/>
      <c r="G745" s="112"/>
      <c r="H745" s="112" t="str">
        <f t="shared" ref="H745:O745" si="158">IF(H732="","",IF(H732=0,"―     ",H744/H732))</f>
        <v/>
      </c>
      <c r="I745" s="112" t="str">
        <f t="shared" si="158"/>
        <v/>
      </c>
      <c r="J745" s="112" t="str">
        <f t="shared" si="158"/>
        <v/>
      </c>
      <c r="K745" s="112" t="str">
        <f t="shared" si="158"/>
        <v/>
      </c>
      <c r="L745" s="112" t="str">
        <f t="shared" si="158"/>
        <v/>
      </c>
      <c r="M745" s="112" t="str">
        <f t="shared" si="158"/>
        <v/>
      </c>
      <c r="N745" s="112" t="str">
        <f t="shared" si="158"/>
        <v/>
      </c>
      <c r="O745" s="112" t="str">
        <f t="shared" si="158"/>
        <v xml:space="preserve">―     </v>
      </c>
    </row>
    <row r="746" spans="1:15" ht="16.5" customHeight="1" x14ac:dyDescent="0.15">
      <c r="A746" s="251" t="s">
        <v>154</v>
      </c>
      <c r="B746" s="164" t="s">
        <v>21</v>
      </c>
      <c r="C746" s="102">
        <v>127912644</v>
      </c>
      <c r="D746" s="102">
        <v>149086818</v>
      </c>
      <c r="E746" s="102">
        <v>140943853</v>
      </c>
      <c r="F746" s="102">
        <v>137605640</v>
      </c>
      <c r="G746" s="102">
        <v>153618244</v>
      </c>
      <c r="H746" s="102">
        <v>147532414</v>
      </c>
      <c r="I746" s="102">
        <v>151850117</v>
      </c>
      <c r="J746" s="102">
        <v>148525976</v>
      </c>
      <c r="K746" s="102">
        <v>150236401</v>
      </c>
      <c r="L746" s="102">
        <v>147409088</v>
      </c>
      <c r="M746" s="102">
        <v>147338659</v>
      </c>
      <c r="N746" s="102">
        <v>144509805</v>
      </c>
      <c r="O746" s="103"/>
    </row>
    <row r="747" spans="1:15" ht="16.5" customHeight="1" x14ac:dyDescent="0.15">
      <c r="A747" s="247"/>
      <c r="B747" s="166" t="s">
        <v>155</v>
      </c>
      <c r="C747" s="105">
        <v>76015944</v>
      </c>
      <c r="D747" s="105">
        <v>92387118</v>
      </c>
      <c r="E747" s="105">
        <v>84932462</v>
      </c>
      <c r="F747" s="105">
        <v>81822260</v>
      </c>
      <c r="G747" s="105">
        <v>94611002</v>
      </c>
      <c r="H747" s="105">
        <v>87149723</v>
      </c>
      <c r="I747" s="105">
        <v>93556012</v>
      </c>
      <c r="J747" s="105">
        <v>87616495</v>
      </c>
      <c r="K747" s="105">
        <v>88481777</v>
      </c>
      <c r="L747" s="105">
        <v>87949342</v>
      </c>
      <c r="M747" s="105">
        <v>86859624</v>
      </c>
      <c r="N747" s="105">
        <v>83596038</v>
      </c>
      <c r="O747" s="105"/>
    </row>
    <row r="748" spans="1:15" ht="16.5" customHeight="1" x14ac:dyDescent="0.15">
      <c r="A748" s="247"/>
      <c r="B748" s="166" t="s">
        <v>156</v>
      </c>
      <c r="C748" s="105">
        <v>900266</v>
      </c>
      <c r="D748" s="105">
        <v>1038444</v>
      </c>
      <c r="E748" s="105">
        <v>1314263</v>
      </c>
      <c r="F748" s="105">
        <v>1366097</v>
      </c>
      <c r="G748" s="105">
        <v>1858537</v>
      </c>
      <c r="H748" s="105">
        <v>2006943</v>
      </c>
      <c r="I748" s="105">
        <v>2065854</v>
      </c>
      <c r="J748" s="105">
        <v>2101179</v>
      </c>
      <c r="K748" s="105">
        <v>2583112</v>
      </c>
      <c r="L748" s="105">
        <v>2195798</v>
      </c>
      <c r="M748" s="105">
        <v>2285486</v>
      </c>
      <c r="N748" s="105">
        <v>2267467</v>
      </c>
      <c r="O748" s="105"/>
    </row>
    <row r="749" spans="1:15" ht="16.5" customHeight="1" x14ac:dyDescent="0.15">
      <c r="A749" s="247"/>
      <c r="B749" s="166" t="s">
        <v>26</v>
      </c>
      <c r="C749" s="105">
        <v>3387710</v>
      </c>
      <c r="D749" s="105">
        <v>4114380</v>
      </c>
      <c r="E749" s="105">
        <v>3778020</v>
      </c>
      <c r="F749" s="105">
        <v>3676510</v>
      </c>
      <c r="G749" s="105">
        <v>4259375</v>
      </c>
      <c r="H749" s="105">
        <v>3953185</v>
      </c>
      <c r="I749" s="105">
        <v>4169790</v>
      </c>
      <c r="J749" s="105">
        <v>3928825</v>
      </c>
      <c r="K749" s="105">
        <v>4019810</v>
      </c>
      <c r="L749" s="105">
        <v>3983145</v>
      </c>
      <c r="M749" s="105">
        <v>3953950</v>
      </c>
      <c r="N749" s="105">
        <v>3753950</v>
      </c>
      <c r="O749" s="105"/>
    </row>
    <row r="750" spans="1:15" ht="16.5" customHeight="1" x14ac:dyDescent="0.15">
      <c r="A750" s="247"/>
      <c r="B750" s="166" t="s">
        <v>66</v>
      </c>
      <c r="C750" s="106">
        <v>2269042</v>
      </c>
      <c r="D750" s="106">
        <v>3224154</v>
      </c>
      <c r="E750" s="106">
        <v>4291477</v>
      </c>
      <c r="F750" s="106">
        <v>3847995</v>
      </c>
      <c r="G750" s="106">
        <v>4278069</v>
      </c>
      <c r="H750" s="106">
        <v>5917516</v>
      </c>
      <c r="I750" s="106">
        <v>5348739</v>
      </c>
      <c r="J750" s="106">
        <v>6111172</v>
      </c>
      <c r="K750" s="106">
        <v>6425139</v>
      </c>
      <c r="L750" s="106">
        <v>5283140</v>
      </c>
      <c r="M750" s="106">
        <v>6473335</v>
      </c>
      <c r="N750" s="106">
        <v>6742734</v>
      </c>
      <c r="O750" s="105"/>
    </row>
    <row r="751" spans="1:15" ht="16.5" customHeight="1" x14ac:dyDescent="0.15">
      <c r="A751" s="247"/>
      <c r="B751" s="166" t="s">
        <v>22</v>
      </c>
      <c r="C751" s="105">
        <v>4534186</v>
      </c>
      <c r="D751" s="105">
        <v>4480282</v>
      </c>
      <c r="E751" s="105">
        <v>4402201</v>
      </c>
      <c r="F751" s="105">
        <v>4551822</v>
      </c>
      <c r="G751" s="105">
        <v>4547182</v>
      </c>
      <c r="H751" s="105">
        <v>4701402</v>
      </c>
      <c r="I751" s="105">
        <v>4820566</v>
      </c>
      <c r="J751" s="105">
        <v>4851230</v>
      </c>
      <c r="K751" s="105">
        <v>5015465</v>
      </c>
      <c r="L751" s="105">
        <v>5064418</v>
      </c>
      <c r="M751" s="105">
        <v>5022005</v>
      </c>
      <c r="N751" s="105">
        <v>5067280</v>
      </c>
      <c r="O751" s="105"/>
    </row>
    <row r="752" spans="1:15" ht="16.5" customHeight="1" x14ac:dyDescent="0.15">
      <c r="A752" s="247"/>
      <c r="B752" s="166" t="s">
        <v>67</v>
      </c>
      <c r="C752" s="105">
        <v>641367</v>
      </c>
      <c r="D752" s="105">
        <v>578615</v>
      </c>
      <c r="E752" s="105">
        <v>571169</v>
      </c>
      <c r="F752" s="105">
        <v>598541</v>
      </c>
      <c r="G752" s="105">
        <v>598090</v>
      </c>
      <c r="H752" s="105">
        <v>609816</v>
      </c>
      <c r="I752" s="105">
        <v>623280</v>
      </c>
      <c r="J752" s="105">
        <v>626101</v>
      </c>
      <c r="K752" s="105">
        <v>651882</v>
      </c>
      <c r="L752" s="105">
        <v>652161</v>
      </c>
      <c r="M752" s="105">
        <v>649373</v>
      </c>
      <c r="N752" s="105">
        <v>653555</v>
      </c>
      <c r="O752" s="105"/>
    </row>
    <row r="753" spans="1:15" ht="16.5" customHeight="1" x14ac:dyDescent="0.15">
      <c r="A753" s="247"/>
      <c r="B753" s="166" t="s">
        <v>23</v>
      </c>
      <c r="C753" s="105">
        <v>7899289</v>
      </c>
      <c r="D753" s="105">
        <v>7857748</v>
      </c>
      <c r="E753" s="105">
        <v>7777411</v>
      </c>
      <c r="F753" s="105">
        <v>8045323</v>
      </c>
      <c r="G753" s="105">
        <v>8035896</v>
      </c>
      <c r="H753" s="105">
        <v>8312043</v>
      </c>
      <c r="I753" s="105">
        <v>8525421</v>
      </c>
      <c r="J753" s="105">
        <v>8578308</v>
      </c>
      <c r="K753" s="105">
        <v>8876964</v>
      </c>
      <c r="L753" s="105">
        <v>8964621</v>
      </c>
      <c r="M753" s="105">
        <v>8888676</v>
      </c>
      <c r="N753" s="105">
        <v>8969745</v>
      </c>
      <c r="O753" s="105"/>
    </row>
    <row r="754" spans="1:15" ht="16.5" customHeight="1" x14ac:dyDescent="0.15">
      <c r="A754" s="247"/>
      <c r="B754" s="166" t="s">
        <v>157</v>
      </c>
      <c r="C754" s="105">
        <v>476012</v>
      </c>
      <c r="D754" s="105">
        <v>583576</v>
      </c>
      <c r="E754" s="105">
        <v>542818</v>
      </c>
      <c r="F754" s="105">
        <v>522958</v>
      </c>
      <c r="G754" s="105">
        <v>606918</v>
      </c>
      <c r="H754" s="105">
        <v>573428</v>
      </c>
      <c r="I754" s="105">
        <v>610518</v>
      </c>
      <c r="J754" s="105">
        <v>815016</v>
      </c>
      <c r="K754" s="105">
        <v>834161</v>
      </c>
      <c r="L754" s="105">
        <v>814730</v>
      </c>
      <c r="M754" s="105">
        <v>814716</v>
      </c>
      <c r="N754" s="105">
        <v>790355</v>
      </c>
      <c r="O754" s="105"/>
    </row>
    <row r="755" spans="1:15" ht="16.5" customHeight="1" x14ac:dyDescent="0.15">
      <c r="A755" s="247"/>
      <c r="B755" s="166" t="s">
        <v>158</v>
      </c>
      <c r="C755" s="105">
        <v>82572962</v>
      </c>
      <c r="D755" s="105">
        <v>100764096</v>
      </c>
      <c r="E755" s="105">
        <v>94316222</v>
      </c>
      <c r="F755" s="105">
        <v>90712862</v>
      </c>
      <c r="G755" s="105">
        <v>105006983</v>
      </c>
      <c r="H755" s="105">
        <v>99027367</v>
      </c>
      <c r="I755" s="105">
        <v>105140395</v>
      </c>
      <c r="J755" s="105">
        <v>99757671</v>
      </c>
      <c r="K755" s="105">
        <v>101509838</v>
      </c>
      <c r="L755" s="105">
        <v>99411425</v>
      </c>
      <c r="M755" s="105">
        <v>99572395</v>
      </c>
      <c r="N755" s="105">
        <v>96360189</v>
      </c>
      <c r="O755" s="105"/>
    </row>
    <row r="756" spans="1:15" ht="16.5" customHeight="1" x14ac:dyDescent="0.15">
      <c r="A756" s="247"/>
      <c r="B756" s="171"/>
      <c r="C756" s="107">
        <v>527</v>
      </c>
      <c r="D756" s="107">
        <v>537</v>
      </c>
      <c r="E756" s="107">
        <v>526</v>
      </c>
      <c r="F756" s="107">
        <v>538</v>
      </c>
      <c r="G756" s="107">
        <v>548</v>
      </c>
      <c r="H756" s="107">
        <v>548</v>
      </c>
      <c r="I756" s="107">
        <v>560</v>
      </c>
      <c r="J756" s="107">
        <v>556</v>
      </c>
      <c r="K756" s="107">
        <v>556</v>
      </c>
      <c r="L756" s="107">
        <v>566</v>
      </c>
      <c r="M756" s="107">
        <v>562</v>
      </c>
      <c r="N756" s="107">
        <v>558</v>
      </c>
      <c r="O756" s="107"/>
    </row>
    <row r="757" spans="1:15" ht="16.5" customHeight="1" thickBot="1" x14ac:dyDescent="0.2">
      <c r="A757" s="247"/>
      <c r="B757" s="171" t="s">
        <v>171</v>
      </c>
      <c r="C757" s="107">
        <v>444</v>
      </c>
      <c r="D757" s="107">
        <v>595</v>
      </c>
      <c r="E757" s="107">
        <v>487</v>
      </c>
      <c r="F757" s="107">
        <v>436</v>
      </c>
      <c r="G757" s="107">
        <v>546</v>
      </c>
      <c r="H757" s="107">
        <v>476</v>
      </c>
      <c r="I757" s="107">
        <v>663</v>
      </c>
      <c r="J757" s="107">
        <v>499</v>
      </c>
      <c r="K757" s="107">
        <v>448</v>
      </c>
      <c r="L757" s="107">
        <v>507</v>
      </c>
      <c r="M757" s="107">
        <v>527</v>
      </c>
      <c r="N757" s="107">
        <v>481</v>
      </c>
      <c r="O757" s="168"/>
    </row>
    <row r="758" spans="1:15" ht="16.5" customHeight="1" thickTop="1" x14ac:dyDescent="0.15">
      <c r="A758" s="247"/>
      <c r="B758" s="169" t="s">
        <v>159</v>
      </c>
      <c r="C758" s="110">
        <v>31788828</v>
      </c>
      <c r="D758" s="110">
        <v>34822501</v>
      </c>
      <c r="E758" s="110">
        <v>33334032</v>
      </c>
      <c r="F758" s="110">
        <v>33174134</v>
      </c>
      <c r="G758" s="110">
        <v>34823175</v>
      </c>
      <c r="H758" s="110">
        <v>34308358</v>
      </c>
      <c r="I758" s="110">
        <v>32129937</v>
      </c>
      <c r="J758" s="110">
        <v>33897650</v>
      </c>
      <c r="K758" s="110">
        <v>33348091</v>
      </c>
      <c r="L758" s="110">
        <v>32501733</v>
      </c>
      <c r="M758" s="110">
        <v>32391494</v>
      </c>
      <c r="N758" s="110">
        <v>32668681</v>
      </c>
      <c r="O758" s="110"/>
    </row>
    <row r="759" spans="1:15" ht="16.5" customHeight="1" thickBot="1" x14ac:dyDescent="0.2">
      <c r="A759" s="248"/>
      <c r="B759" s="170" t="s">
        <v>160</v>
      </c>
      <c r="C759" s="112">
        <v>0.24851982576483994</v>
      </c>
      <c r="D759" s="112">
        <v>0.23357196475948666</v>
      </c>
      <c r="E759" s="112">
        <v>0.23650575240056762</v>
      </c>
      <c r="F759" s="112">
        <v>0.24108120858999674</v>
      </c>
      <c r="G759" s="112">
        <v>0.22668645398654602</v>
      </c>
      <c r="H759" s="112">
        <v>0.23254793350022729</v>
      </c>
      <c r="I759" s="112">
        <v>0.21158980733613791</v>
      </c>
      <c r="J759" s="112">
        <v>0.22822708130192662</v>
      </c>
      <c r="K759" s="112">
        <v>0.22197077923878114</v>
      </c>
      <c r="L759" s="112">
        <v>0.22048662969816352</v>
      </c>
      <c r="M759" s="112">
        <v>0.21984382252318449</v>
      </c>
      <c r="N759" s="112">
        <v>0.22606549777020321</v>
      </c>
      <c r="O759" s="112"/>
    </row>
    <row r="861" ht="16.5" customHeight="1" x14ac:dyDescent="0.15"/>
    <row r="862" ht="16.5" customHeight="1" x14ac:dyDescent="0.15"/>
    <row r="863" ht="16.5" customHeight="1" x14ac:dyDescent="0.15"/>
    <row r="864" ht="16.5" customHeight="1" x14ac:dyDescent="0.15"/>
    <row r="865" ht="16.5" customHeight="1" x14ac:dyDescent="0.15"/>
    <row r="866" ht="16.5" customHeight="1" x14ac:dyDescent="0.15"/>
    <row r="867" ht="16.5" customHeight="1" x14ac:dyDescent="0.15"/>
    <row r="868" ht="16.5" customHeight="1" x14ac:dyDescent="0.15"/>
    <row r="869" ht="16.5" customHeight="1" x14ac:dyDescent="0.15"/>
    <row r="870" ht="16.5" customHeight="1" x14ac:dyDescent="0.15"/>
    <row r="871" ht="16.5" customHeight="1" x14ac:dyDescent="0.15"/>
    <row r="872" ht="16.5" customHeight="1" x14ac:dyDescent="0.15"/>
    <row r="873" ht="16.5" customHeight="1" x14ac:dyDescent="0.15"/>
    <row r="874" ht="16.5" customHeight="1" x14ac:dyDescent="0.15"/>
    <row r="875" ht="16.5" customHeight="1" x14ac:dyDescent="0.15"/>
    <row r="876" ht="16.5" customHeight="1" x14ac:dyDescent="0.15"/>
  </sheetData>
  <autoFilter ref="A3:T876" xr:uid="{00000000-0009-0000-0000-00000A000000}"/>
  <mergeCells count="55">
    <mergeCell ref="A60:A73"/>
    <mergeCell ref="A1:O1"/>
    <mergeCell ref="A4:A17"/>
    <mergeCell ref="A18:A31"/>
    <mergeCell ref="A32:A45"/>
    <mergeCell ref="A46:A59"/>
    <mergeCell ref="A228:A241"/>
    <mergeCell ref="A74:A87"/>
    <mergeCell ref="A88:A101"/>
    <mergeCell ref="A102:A115"/>
    <mergeCell ref="A116:A129"/>
    <mergeCell ref="A130:A143"/>
    <mergeCell ref="A144:A157"/>
    <mergeCell ref="A158:A171"/>
    <mergeCell ref="A172:A185"/>
    <mergeCell ref="A186:A199"/>
    <mergeCell ref="A200:A213"/>
    <mergeCell ref="A214:A227"/>
    <mergeCell ref="A396:A409"/>
    <mergeCell ref="A242:A255"/>
    <mergeCell ref="A256:A269"/>
    <mergeCell ref="A270:A283"/>
    <mergeCell ref="A284:A297"/>
    <mergeCell ref="A298:A311"/>
    <mergeCell ref="A312:A325"/>
    <mergeCell ref="A326:A339"/>
    <mergeCell ref="A340:A353"/>
    <mergeCell ref="A354:A367"/>
    <mergeCell ref="A368:A381"/>
    <mergeCell ref="A382:A395"/>
    <mergeCell ref="A564:A577"/>
    <mergeCell ref="A410:A423"/>
    <mergeCell ref="A424:A437"/>
    <mergeCell ref="A438:A451"/>
    <mergeCell ref="A452:A465"/>
    <mergeCell ref="A466:A479"/>
    <mergeCell ref="A480:A493"/>
    <mergeCell ref="A494:A507"/>
    <mergeCell ref="A508:A521"/>
    <mergeCell ref="A522:A535"/>
    <mergeCell ref="A536:A549"/>
    <mergeCell ref="A550:A563"/>
    <mergeCell ref="A662:A675"/>
    <mergeCell ref="A676:A689"/>
    <mergeCell ref="A746:A759"/>
    <mergeCell ref="A578:A591"/>
    <mergeCell ref="A592:A605"/>
    <mergeCell ref="A606:A619"/>
    <mergeCell ref="A620:A633"/>
    <mergeCell ref="A634:A647"/>
    <mergeCell ref="A648:A661"/>
    <mergeCell ref="A690:A703"/>
    <mergeCell ref="A704:A717"/>
    <mergeCell ref="A718:A731"/>
    <mergeCell ref="A732:A745"/>
  </mergeCells>
  <phoneticPr fontId="3"/>
  <printOptions horizontalCentered="1"/>
  <pageMargins left="0.19685039370078741" right="0.19685039370078741" top="0.19685039370078741" bottom="0.19685039370078741" header="0.19685039370078741" footer="0.19685039370078741"/>
  <pageSetup paperSize="9" scale="85" orientation="landscape" r:id="rId1"/>
  <headerFooter alignWithMargins="0">
    <oddHeader>&amp;R&amp;D  &amp;T</oddHeader>
    <oddFooter>&amp;C&amp;P/&amp;N&amp;R㈱タスクフォース</oddFooter>
  </headerFooter>
  <rowBreaks count="19" manualBreakCount="19">
    <brk id="31" max="14" man="1"/>
    <brk id="73" max="14" man="1"/>
    <brk id="101" max="14" man="1"/>
    <brk id="143" max="14" man="1"/>
    <brk id="171" max="14" man="1"/>
    <brk id="185" max="14" man="1"/>
    <brk id="227" max="14" man="1"/>
    <brk id="269" max="14" man="1"/>
    <brk id="311" max="14" man="1"/>
    <brk id="353" max="14" man="1"/>
    <brk id="409" max="14" man="1"/>
    <brk id="451" max="14" man="1"/>
    <brk id="493" max="14" man="1"/>
    <brk id="535" max="14" man="1"/>
    <brk id="563" max="14" man="1"/>
    <brk id="647" max="14" man="1"/>
    <brk id="745" max="14" man="1"/>
    <brk id="785" max="14" man="1"/>
    <brk id="824" max="1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50"/>
  <sheetViews>
    <sheetView view="pageBreakPreview" zoomScale="85" zoomScaleNormal="100" zoomScaleSheetLayoutView="85" workbookViewId="0">
      <pane xSplit="2" ySplit="3" topLeftCell="C115" activePane="bottomRight" state="frozen"/>
      <selection activeCell="N270" sqref="N270:N283"/>
      <selection pane="topRight" activeCell="N270" sqref="N270:N283"/>
      <selection pane="bottomLeft" activeCell="N270" sqref="N270:N283"/>
      <selection pane="bottomRight" activeCell="A116" sqref="A4:A129"/>
    </sheetView>
  </sheetViews>
  <sheetFormatPr defaultRowHeight="13.5" x14ac:dyDescent="0.15"/>
  <cols>
    <col min="1" max="1" width="13.875" style="165" bestFit="1" customWidth="1"/>
    <col min="2" max="2" width="9" style="165"/>
    <col min="3" max="4" width="11.375" style="165" customWidth="1"/>
    <col min="5" max="5" width="11.75" style="165" bestFit="1" customWidth="1"/>
    <col min="6" max="9" width="10.875" style="165" bestFit="1" customWidth="1"/>
    <col min="10" max="10" width="11.25" style="165" bestFit="1" customWidth="1"/>
    <col min="11" max="11" width="10.875" style="165" customWidth="1"/>
    <col min="12" max="14" width="10" style="165" customWidth="1"/>
    <col min="15" max="15" width="13.625" style="165" bestFit="1" customWidth="1"/>
    <col min="16" max="256" width="9" style="165"/>
    <col min="257" max="257" width="13.875" style="165" bestFit="1" customWidth="1"/>
    <col min="258" max="258" width="9" style="165"/>
    <col min="259" max="260" width="11.375" style="165" customWidth="1"/>
    <col min="261" max="261" width="11.75" style="165" bestFit="1" customWidth="1"/>
    <col min="262" max="265" width="10.875" style="165" bestFit="1" customWidth="1"/>
    <col min="266" max="266" width="11.25" style="165" bestFit="1" customWidth="1"/>
    <col min="267" max="267" width="10.875" style="165" customWidth="1"/>
    <col min="268" max="270" width="10" style="165" customWidth="1"/>
    <col min="271" max="271" width="13.625" style="165" bestFit="1" customWidth="1"/>
    <col min="272" max="512" width="9" style="165"/>
    <col min="513" max="513" width="13.875" style="165" bestFit="1" customWidth="1"/>
    <col min="514" max="514" width="9" style="165"/>
    <col min="515" max="516" width="11.375" style="165" customWidth="1"/>
    <col min="517" max="517" width="11.75" style="165" bestFit="1" customWidth="1"/>
    <col min="518" max="521" width="10.875" style="165" bestFit="1" customWidth="1"/>
    <col min="522" max="522" width="11.25" style="165" bestFit="1" customWidth="1"/>
    <col min="523" max="523" width="10.875" style="165" customWidth="1"/>
    <col min="524" max="526" width="10" style="165" customWidth="1"/>
    <col min="527" max="527" width="13.625" style="165" bestFit="1" customWidth="1"/>
    <col min="528" max="768" width="9" style="165"/>
    <col min="769" max="769" width="13.875" style="165" bestFit="1" customWidth="1"/>
    <col min="770" max="770" width="9" style="165"/>
    <col min="771" max="772" width="11.375" style="165" customWidth="1"/>
    <col min="773" max="773" width="11.75" style="165" bestFit="1" customWidth="1"/>
    <col min="774" max="777" width="10.875" style="165" bestFit="1" customWidth="1"/>
    <col min="778" max="778" width="11.25" style="165" bestFit="1" customWidth="1"/>
    <col min="779" max="779" width="10.875" style="165" customWidth="1"/>
    <col min="780" max="782" width="10" style="165" customWidth="1"/>
    <col min="783" max="783" width="13.625" style="165" bestFit="1" customWidth="1"/>
    <col min="784" max="1024" width="9" style="165"/>
    <col min="1025" max="1025" width="13.875" style="165" bestFit="1" customWidth="1"/>
    <col min="1026" max="1026" width="9" style="165"/>
    <col min="1027" max="1028" width="11.375" style="165" customWidth="1"/>
    <col min="1029" max="1029" width="11.75" style="165" bestFit="1" customWidth="1"/>
    <col min="1030" max="1033" width="10.875" style="165" bestFit="1" customWidth="1"/>
    <col min="1034" max="1034" width="11.25" style="165" bestFit="1" customWidth="1"/>
    <col min="1035" max="1035" width="10.875" style="165" customWidth="1"/>
    <col min="1036" max="1038" width="10" style="165" customWidth="1"/>
    <col min="1039" max="1039" width="13.625" style="165" bestFit="1" customWidth="1"/>
    <col min="1040" max="1280" width="9" style="165"/>
    <col min="1281" max="1281" width="13.875" style="165" bestFit="1" customWidth="1"/>
    <col min="1282" max="1282" width="9" style="165"/>
    <col min="1283" max="1284" width="11.375" style="165" customWidth="1"/>
    <col min="1285" max="1285" width="11.75" style="165" bestFit="1" customWidth="1"/>
    <col min="1286" max="1289" width="10.875" style="165" bestFit="1" customWidth="1"/>
    <col min="1290" max="1290" width="11.25" style="165" bestFit="1" customWidth="1"/>
    <col min="1291" max="1291" width="10.875" style="165" customWidth="1"/>
    <col min="1292" max="1294" width="10" style="165" customWidth="1"/>
    <col min="1295" max="1295" width="13.625" style="165" bestFit="1" customWidth="1"/>
    <col min="1296" max="1536" width="9" style="165"/>
    <col min="1537" max="1537" width="13.875" style="165" bestFit="1" customWidth="1"/>
    <col min="1538" max="1538" width="9" style="165"/>
    <col min="1539" max="1540" width="11.375" style="165" customWidth="1"/>
    <col min="1541" max="1541" width="11.75" style="165" bestFit="1" customWidth="1"/>
    <col min="1542" max="1545" width="10.875" style="165" bestFit="1" customWidth="1"/>
    <col min="1546" max="1546" width="11.25" style="165" bestFit="1" customWidth="1"/>
    <col min="1547" max="1547" width="10.875" style="165" customWidth="1"/>
    <col min="1548" max="1550" width="10" style="165" customWidth="1"/>
    <col min="1551" max="1551" width="13.625" style="165" bestFit="1" customWidth="1"/>
    <col min="1552" max="1792" width="9" style="165"/>
    <col min="1793" max="1793" width="13.875" style="165" bestFit="1" customWidth="1"/>
    <col min="1794" max="1794" width="9" style="165"/>
    <col min="1795" max="1796" width="11.375" style="165" customWidth="1"/>
    <col min="1797" max="1797" width="11.75" style="165" bestFit="1" customWidth="1"/>
    <col min="1798" max="1801" width="10.875" style="165" bestFit="1" customWidth="1"/>
    <col min="1802" max="1802" width="11.25" style="165" bestFit="1" customWidth="1"/>
    <col min="1803" max="1803" width="10.875" style="165" customWidth="1"/>
    <col min="1804" max="1806" width="10" style="165" customWidth="1"/>
    <col min="1807" max="1807" width="13.625" style="165" bestFit="1" customWidth="1"/>
    <col min="1808" max="2048" width="9" style="165"/>
    <col min="2049" max="2049" width="13.875" style="165" bestFit="1" customWidth="1"/>
    <col min="2050" max="2050" width="9" style="165"/>
    <col min="2051" max="2052" width="11.375" style="165" customWidth="1"/>
    <col min="2053" max="2053" width="11.75" style="165" bestFit="1" customWidth="1"/>
    <col min="2054" max="2057" width="10.875" style="165" bestFit="1" customWidth="1"/>
    <col min="2058" max="2058" width="11.25" style="165" bestFit="1" customWidth="1"/>
    <col min="2059" max="2059" width="10.875" style="165" customWidth="1"/>
    <col min="2060" max="2062" width="10" style="165" customWidth="1"/>
    <col min="2063" max="2063" width="13.625" style="165" bestFit="1" customWidth="1"/>
    <col min="2064" max="2304" width="9" style="165"/>
    <col min="2305" max="2305" width="13.875" style="165" bestFit="1" customWidth="1"/>
    <col min="2306" max="2306" width="9" style="165"/>
    <col min="2307" max="2308" width="11.375" style="165" customWidth="1"/>
    <col min="2309" max="2309" width="11.75" style="165" bestFit="1" customWidth="1"/>
    <col min="2310" max="2313" width="10.875" style="165" bestFit="1" customWidth="1"/>
    <col min="2314" max="2314" width="11.25" style="165" bestFit="1" customWidth="1"/>
    <col min="2315" max="2315" width="10.875" style="165" customWidth="1"/>
    <col min="2316" max="2318" width="10" style="165" customWidth="1"/>
    <col min="2319" max="2319" width="13.625" style="165" bestFit="1" customWidth="1"/>
    <col min="2320" max="2560" width="9" style="165"/>
    <col min="2561" max="2561" width="13.875" style="165" bestFit="1" customWidth="1"/>
    <col min="2562" max="2562" width="9" style="165"/>
    <col min="2563" max="2564" width="11.375" style="165" customWidth="1"/>
    <col min="2565" max="2565" width="11.75" style="165" bestFit="1" customWidth="1"/>
    <col min="2566" max="2569" width="10.875" style="165" bestFit="1" customWidth="1"/>
    <col min="2570" max="2570" width="11.25" style="165" bestFit="1" customWidth="1"/>
    <col min="2571" max="2571" width="10.875" style="165" customWidth="1"/>
    <col min="2572" max="2574" width="10" style="165" customWidth="1"/>
    <col min="2575" max="2575" width="13.625" style="165" bestFit="1" customWidth="1"/>
    <col min="2576" max="2816" width="9" style="165"/>
    <col min="2817" max="2817" width="13.875" style="165" bestFit="1" customWidth="1"/>
    <col min="2818" max="2818" width="9" style="165"/>
    <col min="2819" max="2820" width="11.375" style="165" customWidth="1"/>
    <col min="2821" max="2821" width="11.75" style="165" bestFit="1" customWidth="1"/>
    <col min="2822" max="2825" width="10.875" style="165" bestFit="1" customWidth="1"/>
    <col min="2826" max="2826" width="11.25" style="165" bestFit="1" customWidth="1"/>
    <col min="2827" max="2827" width="10.875" style="165" customWidth="1"/>
    <col min="2828" max="2830" width="10" style="165" customWidth="1"/>
    <col min="2831" max="2831" width="13.625" style="165" bestFit="1" customWidth="1"/>
    <col min="2832" max="3072" width="9" style="165"/>
    <col min="3073" max="3073" width="13.875" style="165" bestFit="1" customWidth="1"/>
    <col min="3074" max="3074" width="9" style="165"/>
    <col min="3075" max="3076" width="11.375" style="165" customWidth="1"/>
    <col min="3077" max="3077" width="11.75" style="165" bestFit="1" customWidth="1"/>
    <col min="3078" max="3081" width="10.875" style="165" bestFit="1" customWidth="1"/>
    <col min="3082" max="3082" width="11.25" style="165" bestFit="1" customWidth="1"/>
    <col min="3083" max="3083" width="10.875" style="165" customWidth="1"/>
    <col min="3084" max="3086" width="10" style="165" customWidth="1"/>
    <col min="3087" max="3087" width="13.625" style="165" bestFit="1" customWidth="1"/>
    <col min="3088" max="3328" width="9" style="165"/>
    <col min="3329" max="3329" width="13.875" style="165" bestFit="1" customWidth="1"/>
    <col min="3330" max="3330" width="9" style="165"/>
    <col min="3331" max="3332" width="11.375" style="165" customWidth="1"/>
    <col min="3333" max="3333" width="11.75" style="165" bestFit="1" customWidth="1"/>
    <col min="3334" max="3337" width="10.875" style="165" bestFit="1" customWidth="1"/>
    <col min="3338" max="3338" width="11.25" style="165" bestFit="1" customWidth="1"/>
    <col min="3339" max="3339" width="10.875" style="165" customWidth="1"/>
    <col min="3340" max="3342" width="10" style="165" customWidth="1"/>
    <col min="3343" max="3343" width="13.625" style="165" bestFit="1" customWidth="1"/>
    <col min="3344" max="3584" width="9" style="165"/>
    <col min="3585" max="3585" width="13.875" style="165" bestFit="1" customWidth="1"/>
    <col min="3586" max="3586" width="9" style="165"/>
    <col min="3587" max="3588" width="11.375" style="165" customWidth="1"/>
    <col min="3589" max="3589" width="11.75" style="165" bestFit="1" customWidth="1"/>
    <col min="3590" max="3593" width="10.875" style="165" bestFit="1" customWidth="1"/>
    <col min="3594" max="3594" width="11.25" style="165" bestFit="1" customWidth="1"/>
    <col min="3595" max="3595" width="10.875" style="165" customWidth="1"/>
    <col min="3596" max="3598" width="10" style="165" customWidth="1"/>
    <col min="3599" max="3599" width="13.625" style="165" bestFit="1" customWidth="1"/>
    <col min="3600" max="3840" width="9" style="165"/>
    <col min="3841" max="3841" width="13.875" style="165" bestFit="1" customWidth="1"/>
    <col min="3842" max="3842" width="9" style="165"/>
    <col min="3843" max="3844" width="11.375" style="165" customWidth="1"/>
    <col min="3845" max="3845" width="11.75" style="165" bestFit="1" customWidth="1"/>
    <col min="3846" max="3849" width="10.875" style="165" bestFit="1" customWidth="1"/>
    <col min="3850" max="3850" width="11.25" style="165" bestFit="1" customWidth="1"/>
    <col min="3851" max="3851" width="10.875" style="165" customWidth="1"/>
    <col min="3852" max="3854" width="10" style="165" customWidth="1"/>
    <col min="3855" max="3855" width="13.625" style="165" bestFit="1" customWidth="1"/>
    <col min="3856" max="4096" width="9" style="165"/>
    <col min="4097" max="4097" width="13.875" style="165" bestFit="1" customWidth="1"/>
    <col min="4098" max="4098" width="9" style="165"/>
    <col min="4099" max="4100" width="11.375" style="165" customWidth="1"/>
    <col min="4101" max="4101" width="11.75" style="165" bestFit="1" customWidth="1"/>
    <col min="4102" max="4105" width="10.875" style="165" bestFit="1" customWidth="1"/>
    <col min="4106" max="4106" width="11.25" style="165" bestFit="1" customWidth="1"/>
    <col min="4107" max="4107" width="10.875" style="165" customWidth="1"/>
    <col min="4108" max="4110" width="10" style="165" customWidth="1"/>
    <col min="4111" max="4111" width="13.625" style="165" bestFit="1" customWidth="1"/>
    <col min="4112" max="4352" width="9" style="165"/>
    <col min="4353" max="4353" width="13.875" style="165" bestFit="1" customWidth="1"/>
    <col min="4354" max="4354" width="9" style="165"/>
    <col min="4355" max="4356" width="11.375" style="165" customWidth="1"/>
    <col min="4357" max="4357" width="11.75" style="165" bestFit="1" customWidth="1"/>
    <col min="4358" max="4361" width="10.875" style="165" bestFit="1" customWidth="1"/>
    <col min="4362" max="4362" width="11.25" style="165" bestFit="1" customWidth="1"/>
    <col min="4363" max="4363" width="10.875" style="165" customWidth="1"/>
    <col min="4364" max="4366" width="10" style="165" customWidth="1"/>
    <col min="4367" max="4367" width="13.625" style="165" bestFit="1" customWidth="1"/>
    <col min="4368" max="4608" width="9" style="165"/>
    <col min="4609" max="4609" width="13.875" style="165" bestFit="1" customWidth="1"/>
    <col min="4610" max="4610" width="9" style="165"/>
    <col min="4611" max="4612" width="11.375" style="165" customWidth="1"/>
    <col min="4613" max="4613" width="11.75" style="165" bestFit="1" customWidth="1"/>
    <col min="4614" max="4617" width="10.875" style="165" bestFit="1" customWidth="1"/>
    <col min="4618" max="4618" width="11.25" style="165" bestFit="1" customWidth="1"/>
    <col min="4619" max="4619" width="10.875" style="165" customWidth="1"/>
    <col min="4620" max="4622" width="10" style="165" customWidth="1"/>
    <col min="4623" max="4623" width="13.625" style="165" bestFit="1" customWidth="1"/>
    <col min="4624" max="4864" width="9" style="165"/>
    <col min="4865" max="4865" width="13.875" style="165" bestFit="1" customWidth="1"/>
    <col min="4866" max="4866" width="9" style="165"/>
    <col min="4867" max="4868" width="11.375" style="165" customWidth="1"/>
    <col min="4869" max="4869" width="11.75" style="165" bestFit="1" customWidth="1"/>
    <col min="4870" max="4873" width="10.875" style="165" bestFit="1" customWidth="1"/>
    <col min="4874" max="4874" width="11.25" style="165" bestFit="1" customWidth="1"/>
    <col min="4875" max="4875" width="10.875" style="165" customWidth="1"/>
    <col min="4876" max="4878" width="10" style="165" customWidth="1"/>
    <col min="4879" max="4879" width="13.625" style="165" bestFit="1" customWidth="1"/>
    <col min="4880" max="5120" width="9" style="165"/>
    <col min="5121" max="5121" width="13.875" style="165" bestFit="1" customWidth="1"/>
    <col min="5122" max="5122" width="9" style="165"/>
    <col min="5123" max="5124" width="11.375" style="165" customWidth="1"/>
    <col min="5125" max="5125" width="11.75" style="165" bestFit="1" customWidth="1"/>
    <col min="5126" max="5129" width="10.875" style="165" bestFit="1" customWidth="1"/>
    <col min="5130" max="5130" width="11.25" style="165" bestFit="1" customWidth="1"/>
    <col min="5131" max="5131" width="10.875" style="165" customWidth="1"/>
    <col min="5132" max="5134" width="10" style="165" customWidth="1"/>
    <col min="5135" max="5135" width="13.625" style="165" bestFit="1" customWidth="1"/>
    <col min="5136" max="5376" width="9" style="165"/>
    <col min="5377" max="5377" width="13.875" style="165" bestFit="1" customWidth="1"/>
    <col min="5378" max="5378" width="9" style="165"/>
    <col min="5379" max="5380" width="11.375" style="165" customWidth="1"/>
    <col min="5381" max="5381" width="11.75" style="165" bestFit="1" customWidth="1"/>
    <col min="5382" max="5385" width="10.875" style="165" bestFit="1" customWidth="1"/>
    <col min="5386" max="5386" width="11.25" style="165" bestFit="1" customWidth="1"/>
    <col min="5387" max="5387" width="10.875" style="165" customWidth="1"/>
    <col min="5388" max="5390" width="10" style="165" customWidth="1"/>
    <col min="5391" max="5391" width="13.625" style="165" bestFit="1" customWidth="1"/>
    <col min="5392" max="5632" width="9" style="165"/>
    <col min="5633" max="5633" width="13.875" style="165" bestFit="1" customWidth="1"/>
    <col min="5634" max="5634" width="9" style="165"/>
    <col min="5635" max="5636" width="11.375" style="165" customWidth="1"/>
    <col min="5637" max="5637" width="11.75" style="165" bestFit="1" customWidth="1"/>
    <col min="5638" max="5641" width="10.875" style="165" bestFit="1" customWidth="1"/>
    <col min="5642" max="5642" width="11.25" style="165" bestFit="1" customWidth="1"/>
    <col min="5643" max="5643" width="10.875" style="165" customWidth="1"/>
    <col min="5644" max="5646" width="10" style="165" customWidth="1"/>
    <col min="5647" max="5647" width="13.625" style="165" bestFit="1" customWidth="1"/>
    <col min="5648" max="5888" width="9" style="165"/>
    <col min="5889" max="5889" width="13.875" style="165" bestFit="1" customWidth="1"/>
    <col min="5890" max="5890" width="9" style="165"/>
    <col min="5891" max="5892" width="11.375" style="165" customWidth="1"/>
    <col min="5893" max="5893" width="11.75" style="165" bestFit="1" customWidth="1"/>
    <col min="5894" max="5897" width="10.875" style="165" bestFit="1" customWidth="1"/>
    <col min="5898" max="5898" width="11.25" style="165" bestFit="1" customWidth="1"/>
    <col min="5899" max="5899" width="10.875" style="165" customWidth="1"/>
    <col min="5900" max="5902" width="10" style="165" customWidth="1"/>
    <col min="5903" max="5903" width="13.625" style="165" bestFit="1" customWidth="1"/>
    <col min="5904" max="6144" width="9" style="165"/>
    <col min="6145" max="6145" width="13.875" style="165" bestFit="1" customWidth="1"/>
    <col min="6146" max="6146" width="9" style="165"/>
    <col min="6147" max="6148" width="11.375" style="165" customWidth="1"/>
    <col min="6149" max="6149" width="11.75" style="165" bestFit="1" customWidth="1"/>
    <col min="6150" max="6153" width="10.875" style="165" bestFit="1" customWidth="1"/>
    <col min="6154" max="6154" width="11.25" style="165" bestFit="1" customWidth="1"/>
    <col min="6155" max="6155" width="10.875" style="165" customWidth="1"/>
    <col min="6156" max="6158" width="10" style="165" customWidth="1"/>
    <col min="6159" max="6159" width="13.625" style="165" bestFit="1" customWidth="1"/>
    <col min="6160" max="6400" width="9" style="165"/>
    <col min="6401" max="6401" width="13.875" style="165" bestFit="1" customWidth="1"/>
    <col min="6402" max="6402" width="9" style="165"/>
    <col min="6403" max="6404" width="11.375" style="165" customWidth="1"/>
    <col min="6405" max="6405" width="11.75" style="165" bestFit="1" customWidth="1"/>
    <col min="6406" max="6409" width="10.875" style="165" bestFit="1" customWidth="1"/>
    <col min="6410" max="6410" width="11.25" style="165" bestFit="1" customWidth="1"/>
    <col min="6411" max="6411" width="10.875" style="165" customWidth="1"/>
    <col min="6412" max="6414" width="10" style="165" customWidth="1"/>
    <col min="6415" max="6415" width="13.625" style="165" bestFit="1" customWidth="1"/>
    <col min="6416" max="6656" width="9" style="165"/>
    <col min="6657" max="6657" width="13.875" style="165" bestFit="1" customWidth="1"/>
    <col min="6658" max="6658" width="9" style="165"/>
    <col min="6659" max="6660" width="11.375" style="165" customWidth="1"/>
    <col min="6661" max="6661" width="11.75" style="165" bestFit="1" customWidth="1"/>
    <col min="6662" max="6665" width="10.875" style="165" bestFit="1" customWidth="1"/>
    <col min="6666" max="6666" width="11.25" style="165" bestFit="1" customWidth="1"/>
    <col min="6667" max="6667" width="10.875" style="165" customWidth="1"/>
    <col min="6668" max="6670" width="10" style="165" customWidth="1"/>
    <col min="6671" max="6671" width="13.625" style="165" bestFit="1" customWidth="1"/>
    <col min="6672" max="6912" width="9" style="165"/>
    <col min="6913" max="6913" width="13.875" style="165" bestFit="1" customWidth="1"/>
    <col min="6914" max="6914" width="9" style="165"/>
    <col min="6915" max="6916" width="11.375" style="165" customWidth="1"/>
    <col min="6917" max="6917" width="11.75" style="165" bestFit="1" customWidth="1"/>
    <col min="6918" max="6921" width="10.875" style="165" bestFit="1" customWidth="1"/>
    <col min="6922" max="6922" width="11.25" style="165" bestFit="1" customWidth="1"/>
    <col min="6923" max="6923" width="10.875" style="165" customWidth="1"/>
    <col min="6924" max="6926" width="10" style="165" customWidth="1"/>
    <col min="6927" max="6927" width="13.625" style="165" bestFit="1" customWidth="1"/>
    <col min="6928" max="7168" width="9" style="165"/>
    <col min="7169" max="7169" width="13.875" style="165" bestFit="1" customWidth="1"/>
    <col min="7170" max="7170" width="9" style="165"/>
    <col min="7171" max="7172" width="11.375" style="165" customWidth="1"/>
    <col min="7173" max="7173" width="11.75" style="165" bestFit="1" customWidth="1"/>
    <col min="7174" max="7177" width="10.875" style="165" bestFit="1" customWidth="1"/>
    <col min="7178" max="7178" width="11.25" style="165" bestFit="1" customWidth="1"/>
    <col min="7179" max="7179" width="10.875" style="165" customWidth="1"/>
    <col min="7180" max="7182" width="10" style="165" customWidth="1"/>
    <col min="7183" max="7183" width="13.625" style="165" bestFit="1" customWidth="1"/>
    <col min="7184" max="7424" width="9" style="165"/>
    <col min="7425" max="7425" width="13.875" style="165" bestFit="1" customWidth="1"/>
    <col min="7426" max="7426" width="9" style="165"/>
    <col min="7427" max="7428" width="11.375" style="165" customWidth="1"/>
    <col min="7429" max="7429" width="11.75" style="165" bestFit="1" customWidth="1"/>
    <col min="7430" max="7433" width="10.875" style="165" bestFit="1" customWidth="1"/>
    <col min="7434" max="7434" width="11.25" style="165" bestFit="1" customWidth="1"/>
    <col min="7435" max="7435" width="10.875" style="165" customWidth="1"/>
    <col min="7436" max="7438" width="10" style="165" customWidth="1"/>
    <col min="7439" max="7439" width="13.625" style="165" bestFit="1" customWidth="1"/>
    <col min="7440" max="7680" width="9" style="165"/>
    <col min="7681" max="7681" width="13.875" style="165" bestFit="1" customWidth="1"/>
    <col min="7682" max="7682" width="9" style="165"/>
    <col min="7683" max="7684" width="11.375" style="165" customWidth="1"/>
    <col min="7685" max="7685" width="11.75" style="165" bestFit="1" customWidth="1"/>
    <col min="7686" max="7689" width="10.875" style="165" bestFit="1" customWidth="1"/>
    <col min="7690" max="7690" width="11.25" style="165" bestFit="1" customWidth="1"/>
    <col min="7691" max="7691" width="10.875" style="165" customWidth="1"/>
    <col min="7692" max="7694" width="10" style="165" customWidth="1"/>
    <col min="7695" max="7695" width="13.625" style="165" bestFit="1" customWidth="1"/>
    <col min="7696" max="7936" width="9" style="165"/>
    <col min="7937" max="7937" width="13.875" style="165" bestFit="1" customWidth="1"/>
    <col min="7938" max="7938" width="9" style="165"/>
    <col min="7939" max="7940" width="11.375" style="165" customWidth="1"/>
    <col min="7941" max="7941" width="11.75" style="165" bestFit="1" customWidth="1"/>
    <col min="7942" max="7945" width="10.875" style="165" bestFit="1" customWidth="1"/>
    <col min="7946" max="7946" width="11.25" style="165" bestFit="1" customWidth="1"/>
    <col min="7947" max="7947" width="10.875" style="165" customWidth="1"/>
    <col min="7948" max="7950" width="10" style="165" customWidth="1"/>
    <col min="7951" max="7951" width="13.625" style="165" bestFit="1" customWidth="1"/>
    <col min="7952" max="8192" width="9" style="165"/>
    <col min="8193" max="8193" width="13.875" style="165" bestFit="1" customWidth="1"/>
    <col min="8194" max="8194" width="9" style="165"/>
    <col min="8195" max="8196" width="11.375" style="165" customWidth="1"/>
    <col min="8197" max="8197" width="11.75" style="165" bestFit="1" customWidth="1"/>
    <col min="8198" max="8201" width="10.875" style="165" bestFit="1" customWidth="1"/>
    <col min="8202" max="8202" width="11.25" style="165" bestFit="1" customWidth="1"/>
    <col min="8203" max="8203" width="10.875" style="165" customWidth="1"/>
    <col min="8204" max="8206" width="10" style="165" customWidth="1"/>
    <col min="8207" max="8207" width="13.625" style="165" bestFit="1" customWidth="1"/>
    <col min="8208" max="8448" width="9" style="165"/>
    <col min="8449" max="8449" width="13.875" style="165" bestFit="1" customWidth="1"/>
    <col min="8450" max="8450" width="9" style="165"/>
    <col min="8451" max="8452" width="11.375" style="165" customWidth="1"/>
    <col min="8453" max="8453" width="11.75" style="165" bestFit="1" customWidth="1"/>
    <col min="8454" max="8457" width="10.875" style="165" bestFit="1" customWidth="1"/>
    <col min="8458" max="8458" width="11.25" style="165" bestFit="1" customWidth="1"/>
    <col min="8459" max="8459" width="10.875" style="165" customWidth="1"/>
    <col min="8460" max="8462" width="10" style="165" customWidth="1"/>
    <col min="8463" max="8463" width="13.625" style="165" bestFit="1" customWidth="1"/>
    <col min="8464" max="8704" width="9" style="165"/>
    <col min="8705" max="8705" width="13.875" style="165" bestFit="1" customWidth="1"/>
    <col min="8706" max="8706" width="9" style="165"/>
    <col min="8707" max="8708" width="11.375" style="165" customWidth="1"/>
    <col min="8709" max="8709" width="11.75" style="165" bestFit="1" customWidth="1"/>
    <col min="8710" max="8713" width="10.875" style="165" bestFit="1" customWidth="1"/>
    <col min="8714" max="8714" width="11.25" style="165" bestFit="1" customWidth="1"/>
    <col min="8715" max="8715" width="10.875" style="165" customWidth="1"/>
    <col min="8716" max="8718" width="10" style="165" customWidth="1"/>
    <col min="8719" max="8719" width="13.625" style="165" bestFit="1" customWidth="1"/>
    <col min="8720" max="8960" width="9" style="165"/>
    <col min="8961" max="8961" width="13.875" style="165" bestFit="1" customWidth="1"/>
    <col min="8962" max="8962" width="9" style="165"/>
    <col min="8963" max="8964" width="11.375" style="165" customWidth="1"/>
    <col min="8965" max="8965" width="11.75" style="165" bestFit="1" customWidth="1"/>
    <col min="8966" max="8969" width="10.875" style="165" bestFit="1" customWidth="1"/>
    <col min="8970" max="8970" width="11.25" style="165" bestFit="1" customWidth="1"/>
    <col min="8971" max="8971" width="10.875" style="165" customWidth="1"/>
    <col min="8972" max="8974" width="10" style="165" customWidth="1"/>
    <col min="8975" max="8975" width="13.625" style="165" bestFit="1" customWidth="1"/>
    <col min="8976" max="9216" width="9" style="165"/>
    <col min="9217" max="9217" width="13.875" style="165" bestFit="1" customWidth="1"/>
    <col min="9218" max="9218" width="9" style="165"/>
    <col min="9219" max="9220" width="11.375" style="165" customWidth="1"/>
    <col min="9221" max="9221" width="11.75" style="165" bestFit="1" customWidth="1"/>
    <col min="9222" max="9225" width="10.875" style="165" bestFit="1" customWidth="1"/>
    <col min="9226" max="9226" width="11.25" style="165" bestFit="1" customWidth="1"/>
    <col min="9227" max="9227" width="10.875" style="165" customWidth="1"/>
    <col min="9228" max="9230" width="10" style="165" customWidth="1"/>
    <col min="9231" max="9231" width="13.625" style="165" bestFit="1" customWidth="1"/>
    <col min="9232" max="9472" width="9" style="165"/>
    <col min="9473" max="9473" width="13.875" style="165" bestFit="1" customWidth="1"/>
    <col min="9474" max="9474" width="9" style="165"/>
    <col min="9475" max="9476" width="11.375" style="165" customWidth="1"/>
    <col min="9477" max="9477" width="11.75" style="165" bestFit="1" customWidth="1"/>
    <col min="9478" max="9481" width="10.875" style="165" bestFit="1" customWidth="1"/>
    <col min="9482" max="9482" width="11.25" style="165" bestFit="1" customWidth="1"/>
    <col min="9483" max="9483" width="10.875" style="165" customWidth="1"/>
    <col min="9484" max="9486" width="10" style="165" customWidth="1"/>
    <col min="9487" max="9487" width="13.625" style="165" bestFit="1" customWidth="1"/>
    <col min="9488" max="9728" width="9" style="165"/>
    <col min="9729" max="9729" width="13.875" style="165" bestFit="1" customWidth="1"/>
    <col min="9730" max="9730" width="9" style="165"/>
    <col min="9731" max="9732" width="11.375" style="165" customWidth="1"/>
    <col min="9733" max="9733" width="11.75" style="165" bestFit="1" customWidth="1"/>
    <col min="9734" max="9737" width="10.875" style="165" bestFit="1" customWidth="1"/>
    <col min="9738" max="9738" width="11.25" style="165" bestFit="1" customWidth="1"/>
    <col min="9739" max="9739" width="10.875" style="165" customWidth="1"/>
    <col min="9740" max="9742" width="10" style="165" customWidth="1"/>
    <col min="9743" max="9743" width="13.625" style="165" bestFit="1" customWidth="1"/>
    <col min="9744" max="9984" width="9" style="165"/>
    <col min="9985" max="9985" width="13.875" style="165" bestFit="1" customWidth="1"/>
    <col min="9986" max="9986" width="9" style="165"/>
    <col min="9987" max="9988" width="11.375" style="165" customWidth="1"/>
    <col min="9989" max="9989" width="11.75" style="165" bestFit="1" customWidth="1"/>
    <col min="9990" max="9993" width="10.875" style="165" bestFit="1" customWidth="1"/>
    <col min="9994" max="9994" width="11.25" style="165" bestFit="1" customWidth="1"/>
    <col min="9995" max="9995" width="10.875" style="165" customWidth="1"/>
    <col min="9996" max="9998" width="10" style="165" customWidth="1"/>
    <col min="9999" max="9999" width="13.625" style="165" bestFit="1" customWidth="1"/>
    <col min="10000" max="10240" width="9" style="165"/>
    <col min="10241" max="10241" width="13.875" style="165" bestFit="1" customWidth="1"/>
    <col min="10242" max="10242" width="9" style="165"/>
    <col min="10243" max="10244" width="11.375" style="165" customWidth="1"/>
    <col min="10245" max="10245" width="11.75" style="165" bestFit="1" customWidth="1"/>
    <col min="10246" max="10249" width="10.875" style="165" bestFit="1" customWidth="1"/>
    <col min="10250" max="10250" width="11.25" style="165" bestFit="1" customWidth="1"/>
    <col min="10251" max="10251" width="10.875" style="165" customWidth="1"/>
    <col min="10252" max="10254" width="10" style="165" customWidth="1"/>
    <col min="10255" max="10255" width="13.625" style="165" bestFit="1" customWidth="1"/>
    <col min="10256" max="10496" width="9" style="165"/>
    <col min="10497" max="10497" width="13.875" style="165" bestFit="1" customWidth="1"/>
    <col min="10498" max="10498" width="9" style="165"/>
    <col min="10499" max="10500" width="11.375" style="165" customWidth="1"/>
    <col min="10501" max="10501" width="11.75" style="165" bestFit="1" customWidth="1"/>
    <col min="10502" max="10505" width="10.875" style="165" bestFit="1" customWidth="1"/>
    <col min="10506" max="10506" width="11.25" style="165" bestFit="1" customWidth="1"/>
    <col min="10507" max="10507" width="10.875" style="165" customWidth="1"/>
    <col min="10508" max="10510" width="10" style="165" customWidth="1"/>
    <col min="10511" max="10511" width="13.625" style="165" bestFit="1" customWidth="1"/>
    <col min="10512" max="10752" width="9" style="165"/>
    <col min="10753" max="10753" width="13.875" style="165" bestFit="1" customWidth="1"/>
    <col min="10754" max="10754" width="9" style="165"/>
    <col min="10755" max="10756" width="11.375" style="165" customWidth="1"/>
    <col min="10757" max="10757" width="11.75" style="165" bestFit="1" customWidth="1"/>
    <col min="10758" max="10761" width="10.875" style="165" bestFit="1" customWidth="1"/>
    <col min="10762" max="10762" width="11.25" style="165" bestFit="1" customWidth="1"/>
    <col min="10763" max="10763" width="10.875" style="165" customWidth="1"/>
    <col min="10764" max="10766" width="10" style="165" customWidth="1"/>
    <col min="10767" max="10767" width="13.625" style="165" bestFit="1" customWidth="1"/>
    <col min="10768" max="11008" width="9" style="165"/>
    <col min="11009" max="11009" width="13.875" style="165" bestFit="1" customWidth="1"/>
    <col min="11010" max="11010" width="9" style="165"/>
    <col min="11011" max="11012" width="11.375" style="165" customWidth="1"/>
    <col min="11013" max="11013" width="11.75" style="165" bestFit="1" customWidth="1"/>
    <col min="11014" max="11017" width="10.875" style="165" bestFit="1" customWidth="1"/>
    <col min="11018" max="11018" width="11.25" style="165" bestFit="1" customWidth="1"/>
    <col min="11019" max="11019" width="10.875" style="165" customWidth="1"/>
    <col min="11020" max="11022" width="10" style="165" customWidth="1"/>
    <col min="11023" max="11023" width="13.625" style="165" bestFit="1" customWidth="1"/>
    <col min="11024" max="11264" width="9" style="165"/>
    <col min="11265" max="11265" width="13.875" style="165" bestFit="1" customWidth="1"/>
    <col min="11266" max="11266" width="9" style="165"/>
    <col min="11267" max="11268" width="11.375" style="165" customWidth="1"/>
    <col min="11269" max="11269" width="11.75" style="165" bestFit="1" customWidth="1"/>
    <col min="11270" max="11273" width="10.875" style="165" bestFit="1" customWidth="1"/>
    <col min="11274" max="11274" width="11.25" style="165" bestFit="1" customWidth="1"/>
    <col min="11275" max="11275" width="10.875" style="165" customWidth="1"/>
    <col min="11276" max="11278" width="10" style="165" customWidth="1"/>
    <col min="11279" max="11279" width="13.625" style="165" bestFit="1" customWidth="1"/>
    <col min="11280" max="11520" width="9" style="165"/>
    <col min="11521" max="11521" width="13.875" style="165" bestFit="1" customWidth="1"/>
    <col min="11522" max="11522" width="9" style="165"/>
    <col min="11523" max="11524" width="11.375" style="165" customWidth="1"/>
    <col min="11525" max="11525" width="11.75" style="165" bestFit="1" customWidth="1"/>
    <col min="11526" max="11529" width="10.875" style="165" bestFit="1" customWidth="1"/>
    <col min="11530" max="11530" width="11.25" style="165" bestFit="1" customWidth="1"/>
    <col min="11531" max="11531" width="10.875" style="165" customWidth="1"/>
    <col min="11532" max="11534" width="10" style="165" customWidth="1"/>
    <col min="11535" max="11535" width="13.625" style="165" bestFit="1" customWidth="1"/>
    <col min="11536" max="11776" width="9" style="165"/>
    <col min="11777" max="11777" width="13.875" style="165" bestFit="1" customWidth="1"/>
    <col min="11778" max="11778" width="9" style="165"/>
    <col min="11779" max="11780" width="11.375" style="165" customWidth="1"/>
    <col min="11781" max="11781" width="11.75" style="165" bestFit="1" customWidth="1"/>
    <col min="11782" max="11785" width="10.875" style="165" bestFit="1" customWidth="1"/>
    <col min="11786" max="11786" width="11.25" style="165" bestFit="1" customWidth="1"/>
    <col min="11787" max="11787" width="10.875" style="165" customWidth="1"/>
    <col min="11788" max="11790" width="10" style="165" customWidth="1"/>
    <col min="11791" max="11791" width="13.625" style="165" bestFit="1" customWidth="1"/>
    <col min="11792" max="12032" width="9" style="165"/>
    <col min="12033" max="12033" width="13.875" style="165" bestFit="1" customWidth="1"/>
    <col min="12034" max="12034" width="9" style="165"/>
    <col min="12035" max="12036" width="11.375" style="165" customWidth="1"/>
    <col min="12037" max="12037" width="11.75" style="165" bestFit="1" customWidth="1"/>
    <col min="12038" max="12041" width="10.875" style="165" bestFit="1" customWidth="1"/>
    <col min="12042" max="12042" width="11.25" style="165" bestFit="1" customWidth="1"/>
    <col min="12043" max="12043" width="10.875" style="165" customWidth="1"/>
    <col min="12044" max="12046" width="10" style="165" customWidth="1"/>
    <col min="12047" max="12047" width="13.625" style="165" bestFit="1" customWidth="1"/>
    <col min="12048" max="12288" width="9" style="165"/>
    <col min="12289" max="12289" width="13.875" style="165" bestFit="1" customWidth="1"/>
    <col min="12290" max="12290" width="9" style="165"/>
    <col min="12291" max="12292" width="11.375" style="165" customWidth="1"/>
    <col min="12293" max="12293" width="11.75" style="165" bestFit="1" customWidth="1"/>
    <col min="12294" max="12297" width="10.875" style="165" bestFit="1" customWidth="1"/>
    <col min="12298" max="12298" width="11.25" style="165" bestFit="1" customWidth="1"/>
    <col min="12299" max="12299" width="10.875" style="165" customWidth="1"/>
    <col min="12300" max="12302" width="10" style="165" customWidth="1"/>
    <col min="12303" max="12303" width="13.625" style="165" bestFit="1" customWidth="1"/>
    <col min="12304" max="12544" width="9" style="165"/>
    <col min="12545" max="12545" width="13.875" style="165" bestFit="1" customWidth="1"/>
    <col min="12546" max="12546" width="9" style="165"/>
    <col min="12547" max="12548" width="11.375" style="165" customWidth="1"/>
    <col min="12549" max="12549" width="11.75" style="165" bestFit="1" customWidth="1"/>
    <col min="12550" max="12553" width="10.875" style="165" bestFit="1" customWidth="1"/>
    <col min="12554" max="12554" width="11.25" style="165" bestFit="1" customWidth="1"/>
    <col min="12555" max="12555" width="10.875" style="165" customWidth="1"/>
    <col min="12556" max="12558" width="10" style="165" customWidth="1"/>
    <col min="12559" max="12559" width="13.625" style="165" bestFit="1" customWidth="1"/>
    <col min="12560" max="12800" width="9" style="165"/>
    <col min="12801" max="12801" width="13.875" style="165" bestFit="1" customWidth="1"/>
    <col min="12802" max="12802" width="9" style="165"/>
    <col min="12803" max="12804" width="11.375" style="165" customWidth="1"/>
    <col min="12805" max="12805" width="11.75" style="165" bestFit="1" customWidth="1"/>
    <col min="12806" max="12809" width="10.875" style="165" bestFit="1" customWidth="1"/>
    <col min="12810" max="12810" width="11.25" style="165" bestFit="1" customWidth="1"/>
    <col min="12811" max="12811" width="10.875" style="165" customWidth="1"/>
    <col min="12812" max="12814" width="10" style="165" customWidth="1"/>
    <col min="12815" max="12815" width="13.625" style="165" bestFit="1" customWidth="1"/>
    <col min="12816" max="13056" width="9" style="165"/>
    <col min="13057" max="13057" width="13.875" style="165" bestFit="1" customWidth="1"/>
    <col min="13058" max="13058" width="9" style="165"/>
    <col min="13059" max="13060" width="11.375" style="165" customWidth="1"/>
    <col min="13061" max="13061" width="11.75" style="165" bestFit="1" customWidth="1"/>
    <col min="13062" max="13065" width="10.875" style="165" bestFit="1" customWidth="1"/>
    <col min="13066" max="13066" width="11.25" style="165" bestFit="1" customWidth="1"/>
    <col min="13067" max="13067" width="10.875" style="165" customWidth="1"/>
    <col min="13068" max="13070" width="10" style="165" customWidth="1"/>
    <col min="13071" max="13071" width="13.625" style="165" bestFit="1" customWidth="1"/>
    <col min="13072" max="13312" width="9" style="165"/>
    <col min="13313" max="13313" width="13.875" style="165" bestFit="1" customWidth="1"/>
    <col min="13314" max="13314" width="9" style="165"/>
    <col min="13315" max="13316" width="11.375" style="165" customWidth="1"/>
    <col min="13317" max="13317" width="11.75" style="165" bestFit="1" customWidth="1"/>
    <col min="13318" max="13321" width="10.875" style="165" bestFit="1" customWidth="1"/>
    <col min="13322" max="13322" width="11.25" style="165" bestFit="1" customWidth="1"/>
    <col min="13323" max="13323" width="10.875" style="165" customWidth="1"/>
    <col min="13324" max="13326" width="10" style="165" customWidth="1"/>
    <col min="13327" max="13327" width="13.625" style="165" bestFit="1" customWidth="1"/>
    <col min="13328" max="13568" width="9" style="165"/>
    <col min="13569" max="13569" width="13.875" style="165" bestFit="1" customWidth="1"/>
    <col min="13570" max="13570" width="9" style="165"/>
    <col min="13571" max="13572" width="11.375" style="165" customWidth="1"/>
    <col min="13573" max="13573" width="11.75" style="165" bestFit="1" customWidth="1"/>
    <col min="13574" max="13577" width="10.875" style="165" bestFit="1" customWidth="1"/>
    <col min="13578" max="13578" width="11.25" style="165" bestFit="1" customWidth="1"/>
    <col min="13579" max="13579" width="10.875" style="165" customWidth="1"/>
    <col min="13580" max="13582" width="10" style="165" customWidth="1"/>
    <col min="13583" max="13583" width="13.625" style="165" bestFit="1" customWidth="1"/>
    <col min="13584" max="13824" width="9" style="165"/>
    <col min="13825" max="13825" width="13.875" style="165" bestFit="1" customWidth="1"/>
    <col min="13826" max="13826" width="9" style="165"/>
    <col min="13827" max="13828" width="11.375" style="165" customWidth="1"/>
    <col min="13829" max="13829" width="11.75" style="165" bestFit="1" customWidth="1"/>
    <col min="13830" max="13833" width="10.875" style="165" bestFit="1" customWidth="1"/>
    <col min="13834" max="13834" width="11.25" style="165" bestFit="1" customWidth="1"/>
    <col min="13835" max="13835" width="10.875" style="165" customWidth="1"/>
    <col min="13836" max="13838" width="10" style="165" customWidth="1"/>
    <col min="13839" max="13839" width="13.625" style="165" bestFit="1" customWidth="1"/>
    <col min="13840" max="14080" width="9" style="165"/>
    <col min="14081" max="14081" width="13.875" style="165" bestFit="1" customWidth="1"/>
    <col min="14082" max="14082" width="9" style="165"/>
    <col min="14083" max="14084" width="11.375" style="165" customWidth="1"/>
    <col min="14085" max="14085" width="11.75" style="165" bestFit="1" customWidth="1"/>
    <col min="14086" max="14089" width="10.875" style="165" bestFit="1" customWidth="1"/>
    <col min="14090" max="14090" width="11.25" style="165" bestFit="1" customWidth="1"/>
    <col min="14091" max="14091" width="10.875" style="165" customWidth="1"/>
    <col min="14092" max="14094" width="10" style="165" customWidth="1"/>
    <col min="14095" max="14095" width="13.625" style="165" bestFit="1" customWidth="1"/>
    <col min="14096" max="14336" width="9" style="165"/>
    <col min="14337" max="14337" width="13.875" style="165" bestFit="1" customWidth="1"/>
    <col min="14338" max="14338" width="9" style="165"/>
    <col min="14339" max="14340" width="11.375" style="165" customWidth="1"/>
    <col min="14341" max="14341" width="11.75" style="165" bestFit="1" customWidth="1"/>
    <col min="14342" max="14345" width="10.875" style="165" bestFit="1" customWidth="1"/>
    <col min="14346" max="14346" width="11.25" style="165" bestFit="1" customWidth="1"/>
    <col min="14347" max="14347" width="10.875" style="165" customWidth="1"/>
    <col min="14348" max="14350" width="10" style="165" customWidth="1"/>
    <col min="14351" max="14351" width="13.625" style="165" bestFit="1" customWidth="1"/>
    <col min="14352" max="14592" width="9" style="165"/>
    <col min="14593" max="14593" width="13.875" style="165" bestFit="1" customWidth="1"/>
    <col min="14594" max="14594" width="9" style="165"/>
    <col min="14595" max="14596" width="11.375" style="165" customWidth="1"/>
    <col min="14597" max="14597" width="11.75" style="165" bestFit="1" customWidth="1"/>
    <col min="14598" max="14601" width="10.875" style="165" bestFit="1" customWidth="1"/>
    <col min="14602" max="14602" width="11.25" style="165" bestFit="1" customWidth="1"/>
    <col min="14603" max="14603" width="10.875" style="165" customWidth="1"/>
    <col min="14604" max="14606" width="10" style="165" customWidth="1"/>
    <col min="14607" max="14607" width="13.625" style="165" bestFit="1" customWidth="1"/>
    <col min="14608" max="14848" width="9" style="165"/>
    <col min="14849" max="14849" width="13.875" style="165" bestFit="1" customWidth="1"/>
    <col min="14850" max="14850" width="9" style="165"/>
    <col min="14851" max="14852" width="11.375" style="165" customWidth="1"/>
    <col min="14853" max="14853" width="11.75" style="165" bestFit="1" customWidth="1"/>
    <col min="14854" max="14857" width="10.875" style="165" bestFit="1" customWidth="1"/>
    <col min="14858" max="14858" width="11.25" style="165" bestFit="1" customWidth="1"/>
    <col min="14859" max="14859" width="10.875" style="165" customWidth="1"/>
    <col min="14860" max="14862" width="10" style="165" customWidth="1"/>
    <col min="14863" max="14863" width="13.625" style="165" bestFit="1" customWidth="1"/>
    <col min="14864" max="15104" width="9" style="165"/>
    <col min="15105" max="15105" width="13.875" style="165" bestFit="1" customWidth="1"/>
    <col min="15106" max="15106" width="9" style="165"/>
    <col min="15107" max="15108" width="11.375" style="165" customWidth="1"/>
    <col min="15109" max="15109" width="11.75" style="165" bestFit="1" customWidth="1"/>
    <col min="15110" max="15113" width="10.875" style="165" bestFit="1" customWidth="1"/>
    <col min="15114" max="15114" width="11.25" style="165" bestFit="1" customWidth="1"/>
    <col min="15115" max="15115" width="10.875" style="165" customWidth="1"/>
    <col min="15116" max="15118" width="10" style="165" customWidth="1"/>
    <col min="15119" max="15119" width="13.625" style="165" bestFit="1" customWidth="1"/>
    <col min="15120" max="15360" width="9" style="165"/>
    <col min="15361" max="15361" width="13.875" style="165" bestFit="1" customWidth="1"/>
    <col min="15362" max="15362" width="9" style="165"/>
    <col min="15363" max="15364" width="11.375" style="165" customWidth="1"/>
    <col min="15365" max="15365" width="11.75" style="165" bestFit="1" customWidth="1"/>
    <col min="15366" max="15369" width="10.875" style="165" bestFit="1" customWidth="1"/>
    <col min="15370" max="15370" width="11.25" style="165" bestFit="1" customWidth="1"/>
    <col min="15371" max="15371" width="10.875" style="165" customWidth="1"/>
    <col min="15372" max="15374" width="10" style="165" customWidth="1"/>
    <col min="15375" max="15375" width="13.625" style="165" bestFit="1" customWidth="1"/>
    <col min="15376" max="15616" width="9" style="165"/>
    <col min="15617" max="15617" width="13.875" style="165" bestFit="1" customWidth="1"/>
    <col min="15618" max="15618" width="9" style="165"/>
    <col min="15619" max="15620" width="11.375" style="165" customWidth="1"/>
    <col min="15621" max="15621" width="11.75" style="165" bestFit="1" customWidth="1"/>
    <col min="15622" max="15625" width="10.875" style="165" bestFit="1" customWidth="1"/>
    <col min="15626" max="15626" width="11.25" style="165" bestFit="1" customWidth="1"/>
    <col min="15627" max="15627" width="10.875" style="165" customWidth="1"/>
    <col min="15628" max="15630" width="10" style="165" customWidth="1"/>
    <col min="15631" max="15631" width="13.625" style="165" bestFit="1" customWidth="1"/>
    <col min="15632" max="15872" width="9" style="165"/>
    <col min="15873" max="15873" width="13.875" style="165" bestFit="1" customWidth="1"/>
    <col min="15874" max="15874" width="9" style="165"/>
    <col min="15875" max="15876" width="11.375" style="165" customWidth="1"/>
    <col min="15877" max="15877" width="11.75" style="165" bestFit="1" customWidth="1"/>
    <col min="15878" max="15881" width="10.875" style="165" bestFit="1" customWidth="1"/>
    <col min="15882" max="15882" width="11.25" style="165" bestFit="1" customWidth="1"/>
    <col min="15883" max="15883" width="10.875" style="165" customWidth="1"/>
    <col min="15884" max="15886" width="10" style="165" customWidth="1"/>
    <col min="15887" max="15887" width="13.625" style="165" bestFit="1" customWidth="1"/>
    <col min="15888" max="16128" width="9" style="165"/>
    <col min="16129" max="16129" width="13.875" style="165" bestFit="1" customWidth="1"/>
    <col min="16130" max="16130" width="9" style="165"/>
    <col min="16131" max="16132" width="11.375" style="165" customWidth="1"/>
    <col min="16133" max="16133" width="11.75" style="165" bestFit="1" customWidth="1"/>
    <col min="16134" max="16137" width="10.875" style="165" bestFit="1" customWidth="1"/>
    <col min="16138" max="16138" width="11.25" style="165" bestFit="1" customWidth="1"/>
    <col min="16139" max="16139" width="10.875" style="165" customWidth="1"/>
    <col min="16140" max="16142" width="10" style="165" customWidth="1"/>
    <col min="16143" max="16143" width="13.625" style="165" bestFit="1" customWidth="1"/>
    <col min="16144" max="16384" width="9" style="165"/>
  </cols>
  <sheetData>
    <row r="1" spans="1:15" ht="26.25" customHeight="1" x14ac:dyDescent="0.2">
      <c r="A1" s="245" t="s">
        <v>180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</row>
    <row r="2" spans="1:15" ht="11.25" customHeight="1" thickBo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1:15" ht="16.5" customHeight="1" thickBot="1" x14ac:dyDescent="0.2">
      <c r="A3" s="173" t="s">
        <v>143</v>
      </c>
      <c r="B3" s="174"/>
      <c r="C3" s="175" t="s">
        <v>144</v>
      </c>
      <c r="D3" s="175" t="s">
        <v>145</v>
      </c>
      <c r="E3" s="175" t="s">
        <v>146</v>
      </c>
      <c r="F3" s="175" t="s">
        <v>147</v>
      </c>
      <c r="G3" s="175" t="s">
        <v>148</v>
      </c>
      <c r="H3" s="176" t="s">
        <v>176</v>
      </c>
      <c r="I3" s="175" t="s">
        <v>172</v>
      </c>
      <c r="J3" s="175" t="s">
        <v>149</v>
      </c>
      <c r="K3" s="175" t="s">
        <v>150</v>
      </c>
      <c r="L3" s="175" t="s">
        <v>151</v>
      </c>
      <c r="M3" s="175" t="s">
        <v>152</v>
      </c>
      <c r="N3" s="175" t="s">
        <v>153</v>
      </c>
      <c r="O3" s="175" t="s">
        <v>154</v>
      </c>
    </row>
    <row r="4" spans="1:15" ht="16.5" customHeight="1" x14ac:dyDescent="0.15">
      <c r="A4" s="251"/>
      <c r="B4" s="164" t="s">
        <v>21</v>
      </c>
      <c r="C4" s="102">
        <v>2828160</v>
      </c>
      <c r="D4" s="102">
        <v>2995390</v>
      </c>
      <c r="E4" s="102">
        <v>3870020</v>
      </c>
      <c r="F4" s="102">
        <v>1469300</v>
      </c>
      <c r="G4" s="102">
        <v>1439600</v>
      </c>
      <c r="H4" s="102"/>
      <c r="I4" s="102"/>
      <c r="J4" s="102"/>
      <c r="K4" s="102"/>
      <c r="L4" s="102"/>
      <c r="M4" s="102"/>
      <c r="N4" s="102"/>
      <c r="O4" s="103">
        <f>SUM(C4:N4)</f>
        <v>12602470</v>
      </c>
    </row>
    <row r="5" spans="1:15" ht="16.5" customHeight="1" x14ac:dyDescent="0.15">
      <c r="A5" s="263"/>
      <c r="B5" s="166" t="s">
        <v>155</v>
      </c>
      <c r="C5" s="105">
        <v>2400615</v>
      </c>
      <c r="D5" s="105">
        <v>2636975</v>
      </c>
      <c r="E5" s="105">
        <v>3222343</v>
      </c>
      <c r="F5" s="105">
        <v>1306948</v>
      </c>
      <c r="G5" s="105">
        <v>1060660</v>
      </c>
      <c r="H5" s="105"/>
      <c r="I5" s="105"/>
      <c r="J5" s="105"/>
      <c r="K5" s="105"/>
      <c r="L5" s="105"/>
      <c r="M5" s="105"/>
      <c r="N5" s="105"/>
      <c r="O5" s="105">
        <f t="shared" ref="O5:O15" si="0">SUM(C5:N5)</f>
        <v>10627541</v>
      </c>
    </row>
    <row r="6" spans="1:15" ht="16.5" customHeight="1" x14ac:dyDescent="0.15">
      <c r="A6" s="263"/>
      <c r="B6" s="166" t="s">
        <v>156</v>
      </c>
      <c r="C6" s="105">
        <v>0</v>
      </c>
      <c r="D6" s="105">
        <v>0</v>
      </c>
      <c r="E6" s="105">
        <v>0</v>
      </c>
      <c r="F6" s="105">
        <v>0</v>
      </c>
      <c r="G6" s="105">
        <v>0</v>
      </c>
      <c r="H6" s="105"/>
      <c r="I6" s="105"/>
      <c r="J6" s="105"/>
      <c r="K6" s="105"/>
      <c r="L6" s="105"/>
      <c r="M6" s="105"/>
      <c r="N6" s="105"/>
      <c r="O6" s="105">
        <f t="shared" si="0"/>
        <v>0</v>
      </c>
    </row>
    <row r="7" spans="1:15" ht="16.5" customHeight="1" x14ac:dyDescent="0.15">
      <c r="A7" s="263"/>
      <c r="B7" s="166" t="s">
        <v>26</v>
      </c>
      <c r="C7" s="105">
        <v>146770</v>
      </c>
      <c r="D7" s="105">
        <v>120400</v>
      </c>
      <c r="E7" s="105">
        <v>102720</v>
      </c>
      <c r="F7" s="105">
        <v>18310</v>
      </c>
      <c r="G7" s="105">
        <v>18310</v>
      </c>
      <c r="H7" s="105"/>
      <c r="I7" s="105"/>
      <c r="J7" s="105"/>
      <c r="K7" s="105"/>
      <c r="L7" s="105"/>
      <c r="M7" s="105"/>
      <c r="N7" s="105"/>
      <c r="O7" s="105">
        <f t="shared" si="0"/>
        <v>406510</v>
      </c>
    </row>
    <row r="8" spans="1:15" ht="16.5" customHeight="1" x14ac:dyDescent="0.15">
      <c r="A8" s="263"/>
      <c r="B8" s="166" t="s">
        <v>66</v>
      </c>
      <c r="C8" s="106">
        <v>152998</v>
      </c>
      <c r="D8" s="105">
        <v>140538</v>
      </c>
      <c r="E8" s="105">
        <v>141173</v>
      </c>
      <c r="F8" s="105">
        <v>88174</v>
      </c>
      <c r="G8" s="105">
        <v>87859</v>
      </c>
      <c r="H8" s="105"/>
      <c r="I8" s="106"/>
      <c r="J8" s="106"/>
      <c r="K8" s="106"/>
      <c r="L8" s="106"/>
      <c r="M8" s="106"/>
      <c r="N8" s="106"/>
      <c r="O8" s="105">
        <f t="shared" si="0"/>
        <v>610742</v>
      </c>
    </row>
    <row r="9" spans="1:15" ht="16.5" customHeight="1" x14ac:dyDescent="0.15">
      <c r="A9" s="263"/>
      <c r="B9" s="166" t="s">
        <v>22</v>
      </c>
      <c r="C9" s="105">
        <v>134804</v>
      </c>
      <c r="D9" s="105">
        <v>123738</v>
      </c>
      <c r="E9" s="105">
        <v>144864</v>
      </c>
      <c r="F9" s="105">
        <v>49294</v>
      </c>
      <c r="G9" s="105">
        <v>41850</v>
      </c>
      <c r="H9" s="105"/>
      <c r="I9" s="105"/>
      <c r="J9" s="105"/>
      <c r="K9" s="105"/>
      <c r="L9" s="105"/>
      <c r="M9" s="105"/>
      <c r="N9" s="105"/>
      <c r="O9" s="105">
        <f t="shared" si="0"/>
        <v>494550</v>
      </c>
    </row>
    <row r="10" spans="1:15" ht="16.5" customHeight="1" x14ac:dyDescent="0.15">
      <c r="A10" s="263"/>
      <c r="B10" s="166" t="s">
        <v>67</v>
      </c>
      <c r="C10" s="105">
        <v>11157</v>
      </c>
      <c r="D10" s="105">
        <v>11157</v>
      </c>
      <c r="E10" s="105">
        <v>16116</v>
      </c>
      <c r="F10" s="105">
        <v>7593</v>
      </c>
      <c r="G10" s="105">
        <v>6446</v>
      </c>
      <c r="H10" s="105"/>
      <c r="I10" s="105"/>
      <c r="J10" s="105"/>
      <c r="K10" s="105"/>
      <c r="L10" s="105"/>
      <c r="M10" s="105"/>
      <c r="N10" s="105"/>
      <c r="O10" s="105">
        <f t="shared" si="0"/>
        <v>52469</v>
      </c>
    </row>
    <row r="11" spans="1:15" ht="16.5" customHeight="1" x14ac:dyDescent="0.15">
      <c r="A11" s="263"/>
      <c r="B11" s="166" t="s">
        <v>23</v>
      </c>
      <c r="C11" s="105">
        <v>224666</v>
      </c>
      <c r="D11" s="105">
        <v>206223</v>
      </c>
      <c r="E11" s="105">
        <v>241432</v>
      </c>
      <c r="F11" s="105">
        <v>82154</v>
      </c>
      <c r="G11" s="105">
        <v>69748</v>
      </c>
      <c r="H11" s="105"/>
      <c r="I11" s="105"/>
      <c r="J11" s="105"/>
      <c r="K11" s="105"/>
      <c r="L11" s="105"/>
      <c r="M11" s="105"/>
      <c r="N11" s="105"/>
      <c r="O11" s="105">
        <f t="shared" si="0"/>
        <v>824223</v>
      </c>
    </row>
    <row r="12" spans="1:15" ht="16.5" customHeight="1" x14ac:dyDescent="0.15">
      <c r="A12" s="263"/>
      <c r="B12" s="166" t="s">
        <v>157</v>
      </c>
      <c r="C12" s="105">
        <v>21381</v>
      </c>
      <c r="D12" s="105">
        <v>24258</v>
      </c>
      <c r="E12" s="105">
        <v>28369</v>
      </c>
      <c r="F12" s="105">
        <v>11425</v>
      </c>
      <c r="G12" s="105">
        <v>8890</v>
      </c>
      <c r="H12" s="105"/>
      <c r="I12" s="105"/>
      <c r="J12" s="105"/>
      <c r="K12" s="105"/>
      <c r="L12" s="105"/>
      <c r="M12" s="105"/>
      <c r="N12" s="105"/>
      <c r="O12" s="105">
        <f t="shared" si="0"/>
        <v>94323</v>
      </c>
    </row>
    <row r="13" spans="1:15" ht="16.5" customHeight="1" x14ac:dyDescent="0.15">
      <c r="A13" s="263"/>
      <c r="B13" s="166" t="s">
        <v>158</v>
      </c>
      <c r="C13" s="105">
        <v>2700383</v>
      </c>
      <c r="D13" s="105">
        <v>2897913</v>
      </c>
      <c r="E13" s="105">
        <v>3466236</v>
      </c>
      <c r="F13" s="105">
        <v>1413432</v>
      </c>
      <c r="G13" s="105">
        <v>1166829</v>
      </c>
      <c r="H13" s="105"/>
      <c r="I13" s="105"/>
      <c r="J13" s="105"/>
      <c r="K13" s="105"/>
      <c r="L13" s="105"/>
      <c r="M13" s="105"/>
      <c r="N13" s="105"/>
      <c r="O13" s="105">
        <f t="shared" si="0"/>
        <v>11644793</v>
      </c>
    </row>
    <row r="14" spans="1:15" ht="16.5" customHeight="1" x14ac:dyDescent="0.15">
      <c r="A14" s="263"/>
      <c r="B14" s="171"/>
      <c r="C14" s="107"/>
      <c r="D14" s="107">
        <v>20</v>
      </c>
      <c r="E14" s="107">
        <v>22</v>
      </c>
      <c r="F14" s="107">
        <v>9</v>
      </c>
      <c r="G14" s="107">
        <v>8</v>
      </c>
      <c r="H14" s="107"/>
      <c r="I14" s="107"/>
      <c r="J14" s="107"/>
      <c r="K14" s="107"/>
      <c r="L14" s="107"/>
      <c r="M14" s="107"/>
      <c r="N14" s="107"/>
      <c r="O14" s="107"/>
    </row>
    <row r="15" spans="1:15" ht="16.5" customHeight="1" thickBot="1" x14ac:dyDescent="0.2">
      <c r="A15" s="263"/>
      <c r="B15" s="171" t="s">
        <v>170</v>
      </c>
      <c r="C15" s="107">
        <v>18</v>
      </c>
      <c r="D15" s="107">
        <v>14</v>
      </c>
      <c r="E15" s="107">
        <v>19</v>
      </c>
      <c r="F15" s="107">
        <v>0</v>
      </c>
      <c r="G15" s="107">
        <v>0</v>
      </c>
      <c r="H15" s="107"/>
      <c r="I15" s="107"/>
      <c r="J15" s="107"/>
      <c r="K15" s="107"/>
      <c r="L15" s="107"/>
      <c r="M15" s="107"/>
      <c r="N15" s="107"/>
      <c r="O15" s="168">
        <f t="shared" si="0"/>
        <v>51</v>
      </c>
    </row>
    <row r="16" spans="1:15" ht="16.5" customHeight="1" thickTop="1" x14ac:dyDescent="0.15">
      <c r="A16" s="263"/>
      <c r="B16" s="169" t="s">
        <v>159</v>
      </c>
      <c r="C16" s="110">
        <f>IF(C4="","",C4-SUM(C5:C12))</f>
        <v>-264231</v>
      </c>
      <c r="D16" s="110">
        <v>-267899</v>
      </c>
      <c r="E16" s="110">
        <v>-26997</v>
      </c>
      <c r="F16" s="110">
        <v>-94598</v>
      </c>
      <c r="G16" s="110">
        <v>145837</v>
      </c>
      <c r="H16" s="110" t="str">
        <f t="shared" ref="H16:M16" si="1">IF(H4="","",H4-SUM(H5:H12))</f>
        <v/>
      </c>
      <c r="I16" s="110" t="str">
        <f t="shared" si="1"/>
        <v/>
      </c>
      <c r="J16" s="110" t="str">
        <f t="shared" si="1"/>
        <v/>
      </c>
      <c r="K16" s="110" t="str">
        <f t="shared" si="1"/>
        <v/>
      </c>
      <c r="L16" s="110" t="str">
        <f t="shared" si="1"/>
        <v/>
      </c>
      <c r="M16" s="110" t="str">
        <f t="shared" si="1"/>
        <v/>
      </c>
      <c r="N16" s="110" t="str">
        <f>IF(N4="","",N4-SUM(N5:N12))</f>
        <v/>
      </c>
      <c r="O16" s="110">
        <f>IF(O4="","",O4-SUM(O5:O12))</f>
        <v>-507888</v>
      </c>
    </row>
    <row r="17" spans="1:15" ht="16.5" customHeight="1" thickBot="1" x14ac:dyDescent="0.2">
      <c r="A17" s="264"/>
      <c r="B17" s="170" t="s">
        <v>160</v>
      </c>
      <c r="C17" s="112">
        <f>IF(C4="","",IF(C4=0,"―     ",C16/C4))</f>
        <v>-9.3428589613034629E-2</v>
      </c>
      <c r="D17" s="112">
        <v>-8.9437101679580952E-2</v>
      </c>
      <c r="E17" s="112">
        <v>-6.975932940915034E-3</v>
      </c>
      <c r="F17" s="112">
        <v>-6.4383039542639353E-2</v>
      </c>
      <c r="G17" s="112">
        <v>0.10130383439844401</v>
      </c>
      <c r="H17" s="112" t="str">
        <f t="shared" ref="H17:N17" si="2">IF(H4="","",IF(H4=0,"―     ",H16/H4))</f>
        <v/>
      </c>
      <c r="I17" s="112" t="str">
        <f t="shared" si="2"/>
        <v/>
      </c>
      <c r="J17" s="112" t="str">
        <f t="shared" si="2"/>
        <v/>
      </c>
      <c r="K17" s="112" t="str">
        <f t="shared" si="2"/>
        <v/>
      </c>
      <c r="L17" s="112" t="str">
        <f t="shared" si="2"/>
        <v/>
      </c>
      <c r="M17" s="112" t="str">
        <f t="shared" si="2"/>
        <v/>
      </c>
      <c r="N17" s="112" t="str">
        <f t="shared" si="2"/>
        <v/>
      </c>
      <c r="O17" s="112">
        <f>IF(O4="","",IF(O4=0,"―     ",O16/O4))</f>
        <v>-4.0300671217626385E-2</v>
      </c>
    </row>
    <row r="18" spans="1:15" ht="16.5" customHeight="1" x14ac:dyDescent="0.15">
      <c r="A18" s="251"/>
      <c r="B18" s="164" t="s">
        <v>21</v>
      </c>
      <c r="C18" s="102"/>
      <c r="D18" s="102"/>
      <c r="E18" s="102"/>
      <c r="F18" s="102">
        <v>2528860</v>
      </c>
      <c r="G18" s="102">
        <v>2585720</v>
      </c>
      <c r="H18" s="102"/>
      <c r="I18" s="102"/>
      <c r="J18" s="102"/>
      <c r="K18" s="102"/>
      <c r="L18" s="102"/>
      <c r="M18" s="102"/>
      <c r="N18" s="102"/>
      <c r="O18" s="103">
        <f>SUM(C18:N18)</f>
        <v>5114580</v>
      </c>
    </row>
    <row r="19" spans="1:15" ht="16.5" customHeight="1" x14ac:dyDescent="0.15">
      <c r="A19" s="263"/>
      <c r="B19" s="166" t="s">
        <v>155</v>
      </c>
      <c r="C19" s="105"/>
      <c r="D19" s="105"/>
      <c r="E19" s="105"/>
      <c r="F19" s="105">
        <v>1826000</v>
      </c>
      <c r="G19" s="105">
        <v>1964883</v>
      </c>
      <c r="H19" s="105"/>
      <c r="I19" s="105"/>
      <c r="J19" s="105"/>
      <c r="K19" s="105"/>
      <c r="L19" s="105"/>
      <c r="M19" s="105"/>
      <c r="N19" s="105"/>
      <c r="O19" s="105">
        <f t="shared" ref="O19:O27" si="3">SUM(C19:N19)</f>
        <v>3790883</v>
      </c>
    </row>
    <row r="20" spans="1:15" ht="16.5" customHeight="1" x14ac:dyDescent="0.15">
      <c r="A20" s="263"/>
      <c r="B20" s="166" t="s">
        <v>156</v>
      </c>
      <c r="C20" s="105"/>
      <c r="D20" s="105"/>
      <c r="E20" s="105"/>
      <c r="F20" s="105">
        <v>0</v>
      </c>
      <c r="G20" s="105">
        <v>0</v>
      </c>
      <c r="H20" s="105"/>
      <c r="I20" s="105"/>
      <c r="J20" s="105"/>
      <c r="K20" s="105"/>
      <c r="L20" s="105"/>
      <c r="M20" s="105"/>
      <c r="N20" s="105"/>
      <c r="O20" s="105">
        <f t="shared" si="3"/>
        <v>0</v>
      </c>
    </row>
    <row r="21" spans="1:15" ht="16.5" customHeight="1" x14ac:dyDescent="0.15">
      <c r="A21" s="263"/>
      <c r="B21" s="166" t="s">
        <v>26</v>
      </c>
      <c r="C21" s="105"/>
      <c r="D21" s="105"/>
      <c r="E21" s="105"/>
      <c r="F21" s="105">
        <v>73550</v>
      </c>
      <c r="G21" s="105">
        <v>69830</v>
      </c>
      <c r="H21" s="105"/>
      <c r="I21" s="105"/>
      <c r="J21" s="105"/>
      <c r="K21" s="105"/>
      <c r="L21" s="105"/>
      <c r="M21" s="105"/>
      <c r="N21" s="105"/>
      <c r="O21" s="105">
        <f t="shared" si="3"/>
        <v>143380</v>
      </c>
    </row>
    <row r="22" spans="1:15" ht="16.5" customHeight="1" x14ac:dyDescent="0.15">
      <c r="A22" s="263"/>
      <c r="B22" s="166" t="s">
        <v>66</v>
      </c>
      <c r="C22" s="106"/>
      <c r="D22" s="105"/>
      <c r="E22" s="105"/>
      <c r="F22" s="105">
        <v>72614</v>
      </c>
      <c r="G22" s="105">
        <v>74772</v>
      </c>
      <c r="H22" s="105"/>
      <c r="I22" s="106"/>
      <c r="J22" s="106"/>
      <c r="K22" s="106"/>
      <c r="L22" s="106"/>
      <c r="M22" s="106"/>
      <c r="N22" s="106"/>
      <c r="O22" s="105">
        <f t="shared" si="3"/>
        <v>147386</v>
      </c>
    </row>
    <row r="23" spans="1:15" ht="16.5" customHeight="1" x14ac:dyDescent="0.15">
      <c r="A23" s="263"/>
      <c r="B23" s="166" t="s">
        <v>22</v>
      </c>
      <c r="C23" s="105"/>
      <c r="D23" s="105"/>
      <c r="E23" s="105"/>
      <c r="F23" s="105">
        <v>84504</v>
      </c>
      <c r="G23" s="105">
        <v>98286</v>
      </c>
      <c r="H23" s="105"/>
      <c r="I23" s="105"/>
      <c r="J23" s="105"/>
      <c r="K23" s="105"/>
      <c r="L23" s="105"/>
      <c r="M23" s="105"/>
      <c r="N23" s="105"/>
      <c r="O23" s="105">
        <f t="shared" si="3"/>
        <v>182790</v>
      </c>
    </row>
    <row r="24" spans="1:15" ht="16.5" customHeight="1" x14ac:dyDescent="0.15">
      <c r="A24" s="263"/>
      <c r="B24" s="166" t="s">
        <v>67</v>
      </c>
      <c r="C24" s="105"/>
      <c r="D24" s="105"/>
      <c r="E24" s="105"/>
      <c r="F24" s="105">
        <v>8523</v>
      </c>
      <c r="G24" s="105">
        <v>10646</v>
      </c>
      <c r="H24" s="105"/>
      <c r="I24" s="105"/>
      <c r="J24" s="105"/>
      <c r="K24" s="105"/>
      <c r="L24" s="105"/>
      <c r="M24" s="105"/>
      <c r="N24" s="105"/>
      <c r="O24" s="105">
        <f t="shared" si="3"/>
        <v>19169</v>
      </c>
    </row>
    <row r="25" spans="1:15" ht="16.5" customHeight="1" x14ac:dyDescent="0.15">
      <c r="A25" s="263"/>
      <c r="B25" s="166" t="s">
        <v>23</v>
      </c>
      <c r="C25" s="105"/>
      <c r="D25" s="105"/>
      <c r="E25" s="105"/>
      <c r="F25" s="105">
        <v>140835</v>
      </c>
      <c r="G25" s="105">
        <v>163804</v>
      </c>
      <c r="H25" s="105"/>
      <c r="I25" s="105"/>
      <c r="J25" s="105"/>
      <c r="K25" s="105"/>
      <c r="L25" s="105"/>
      <c r="M25" s="105"/>
      <c r="N25" s="105"/>
      <c r="O25" s="105">
        <f t="shared" si="3"/>
        <v>304639</v>
      </c>
    </row>
    <row r="26" spans="1:15" ht="16.5" customHeight="1" x14ac:dyDescent="0.15">
      <c r="A26" s="263"/>
      <c r="B26" s="166" t="s">
        <v>157</v>
      </c>
      <c r="C26" s="105"/>
      <c r="D26" s="105"/>
      <c r="E26" s="105"/>
      <c r="F26" s="105">
        <v>16762</v>
      </c>
      <c r="G26" s="105">
        <v>17930</v>
      </c>
      <c r="H26" s="105"/>
      <c r="I26" s="105"/>
      <c r="J26" s="105"/>
      <c r="K26" s="105"/>
      <c r="L26" s="105"/>
      <c r="M26" s="105"/>
      <c r="N26" s="105"/>
      <c r="O26" s="105">
        <f t="shared" si="3"/>
        <v>34692</v>
      </c>
    </row>
    <row r="27" spans="1:15" ht="16.5" customHeight="1" x14ac:dyDescent="0.15">
      <c r="A27" s="263"/>
      <c r="B27" s="166" t="s">
        <v>158</v>
      </c>
      <c r="C27" s="105"/>
      <c r="D27" s="105"/>
      <c r="E27" s="105"/>
      <c r="F27" s="105">
        <v>1972164</v>
      </c>
      <c r="G27" s="105">
        <v>2109485</v>
      </c>
      <c r="H27" s="105"/>
      <c r="I27" s="105"/>
      <c r="J27" s="105"/>
      <c r="K27" s="105"/>
      <c r="L27" s="105"/>
      <c r="M27" s="105"/>
      <c r="N27" s="105"/>
      <c r="O27" s="105">
        <f t="shared" si="3"/>
        <v>4081649</v>
      </c>
    </row>
    <row r="28" spans="1:15" ht="16.5" customHeight="1" x14ac:dyDescent="0.15">
      <c r="A28" s="263"/>
      <c r="B28" s="171"/>
      <c r="C28" s="107"/>
      <c r="D28" s="107"/>
      <c r="E28" s="107"/>
      <c r="F28" s="107">
        <v>12</v>
      </c>
      <c r="G28" s="107">
        <v>13</v>
      </c>
      <c r="H28" s="107"/>
      <c r="I28" s="107"/>
      <c r="J28" s="107"/>
      <c r="K28" s="107"/>
      <c r="L28" s="107"/>
      <c r="M28" s="107"/>
      <c r="N28" s="107"/>
      <c r="O28" s="107"/>
    </row>
    <row r="29" spans="1:15" ht="16.5" customHeight="1" thickBot="1" x14ac:dyDescent="0.2">
      <c r="A29" s="263"/>
      <c r="B29" s="171" t="s">
        <v>170</v>
      </c>
      <c r="C29" s="107"/>
      <c r="D29" s="107"/>
      <c r="E29" s="107"/>
      <c r="F29" s="107">
        <v>8</v>
      </c>
      <c r="G29" s="107">
        <v>5</v>
      </c>
      <c r="H29" s="107"/>
      <c r="I29" s="107"/>
      <c r="J29" s="107"/>
      <c r="K29" s="107"/>
      <c r="L29" s="107"/>
      <c r="M29" s="107"/>
      <c r="N29" s="107"/>
      <c r="O29" s="168">
        <f>SUM(C29:N29)</f>
        <v>13</v>
      </c>
    </row>
    <row r="30" spans="1:15" ht="16.5" customHeight="1" thickTop="1" x14ac:dyDescent="0.15">
      <c r="A30" s="263"/>
      <c r="B30" s="169" t="s">
        <v>159</v>
      </c>
      <c r="C30" s="110"/>
      <c r="D30" s="110"/>
      <c r="E30" s="110"/>
      <c r="F30" s="110">
        <v>306072</v>
      </c>
      <c r="G30" s="110">
        <v>185569</v>
      </c>
      <c r="H30" s="110" t="str">
        <f t="shared" ref="H30:M30" si="4">IF(H18="","",H18-SUM(H19:H26))</f>
        <v/>
      </c>
      <c r="I30" s="110" t="str">
        <f t="shared" si="4"/>
        <v/>
      </c>
      <c r="J30" s="110" t="str">
        <f t="shared" si="4"/>
        <v/>
      </c>
      <c r="K30" s="110" t="str">
        <f t="shared" si="4"/>
        <v/>
      </c>
      <c r="L30" s="110" t="str">
        <f t="shared" si="4"/>
        <v/>
      </c>
      <c r="M30" s="110" t="str">
        <f t="shared" si="4"/>
        <v/>
      </c>
      <c r="N30" s="110" t="str">
        <f>IF(N18="","",N18-SUM(N19:N26))</f>
        <v/>
      </c>
      <c r="O30" s="110">
        <f>IF(O18="","",O18-SUM(O19:O26))</f>
        <v>491641</v>
      </c>
    </row>
    <row r="31" spans="1:15" ht="16.5" customHeight="1" thickBot="1" x14ac:dyDescent="0.2">
      <c r="A31" s="264"/>
      <c r="B31" s="170" t="s">
        <v>160</v>
      </c>
      <c r="C31" s="112"/>
      <c r="D31" s="112"/>
      <c r="E31" s="112"/>
      <c r="F31" s="112">
        <v>0.12103161108167317</v>
      </c>
      <c r="G31" s="112">
        <v>7.1766857973794534E-2</v>
      </c>
      <c r="H31" s="112" t="str">
        <f t="shared" ref="H31:N31" si="5">IF(H18="","",IF(H18=0,"―     ",H30/H18))</f>
        <v/>
      </c>
      <c r="I31" s="112" t="str">
        <f t="shared" si="5"/>
        <v/>
      </c>
      <c r="J31" s="112" t="str">
        <f t="shared" si="5"/>
        <v/>
      </c>
      <c r="K31" s="112" t="str">
        <f t="shared" si="5"/>
        <v/>
      </c>
      <c r="L31" s="112" t="str">
        <f t="shared" si="5"/>
        <v/>
      </c>
      <c r="M31" s="112" t="str">
        <f t="shared" si="5"/>
        <v/>
      </c>
      <c r="N31" s="112" t="str">
        <f t="shared" si="5"/>
        <v/>
      </c>
      <c r="O31" s="112">
        <f>IF(O18="","",IF(O18=0,"―     ",O30/O18))</f>
        <v>9.6125390550152706E-2</v>
      </c>
    </row>
    <row r="32" spans="1:15" ht="16.5" customHeight="1" x14ac:dyDescent="0.15">
      <c r="A32" s="251"/>
      <c r="B32" s="164" t="s">
        <v>21</v>
      </c>
      <c r="C32" s="102"/>
      <c r="D32" s="102"/>
      <c r="E32" s="102">
        <v>85500</v>
      </c>
      <c r="F32" s="102">
        <v>277875</v>
      </c>
      <c r="G32" s="102">
        <v>212562</v>
      </c>
      <c r="H32" s="102"/>
      <c r="I32" s="102"/>
      <c r="J32" s="102"/>
      <c r="K32" s="102"/>
      <c r="L32" s="102"/>
      <c r="M32" s="102"/>
      <c r="N32" s="102"/>
      <c r="O32" s="103">
        <f>SUM(C32:N32)</f>
        <v>575937</v>
      </c>
    </row>
    <row r="33" spans="1:15" ht="16.5" customHeight="1" x14ac:dyDescent="0.15">
      <c r="A33" s="263"/>
      <c r="B33" s="166" t="s">
        <v>155</v>
      </c>
      <c r="C33" s="105"/>
      <c r="D33" s="105"/>
      <c r="E33" s="105">
        <v>58500</v>
      </c>
      <c r="F33" s="105">
        <v>185250</v>
      </c>
      <c r="G33" s="105">
        <v>136500</v>
      </c>
      <c r="H33" s="105"/>
      <c r="I33" s="105"/>
      <c r="J33" s="105"/>
      <c r="K33" s="105"/>
      <c r="L33" s="105"/>
      <c r="M33" s="105"/>
      <c r="N33" s="105"/>
      <c r="O33" s="105">
        <f t="shared" ref="O33:O41" si="6">SUM(C33:N33)</f>
        <v>380250</v>
      </c>
    </row>
    <row r="34" spans="1:15" ht="16.5" customHeight="1" x14ac:dyDescent="0.15">
      <c r="A34" s="263"/>
      <c r="B34" s="166" t="s">
        <v>156</v>
      </c>
      <c r="C34" s="105"/>
      <c r="D34" s="105"/>
      <c r="E34" s="105">
        <v>0</v>
      </c>
      <c r="F34" s="105">
        <v>0</v>
      </c>
      <c r="G34" s="105">
        <v>0</v>
      </c>
      <c r="H34" s="105"/>
      <c r="I34" s="105"/>
      <c r="J34" s="105"/>
      <c r="K34" s="105"/>
      <c r="L34" s="105"/>
      <c r="M34" s="105"/>
      <c r="N34" s="105"/>
      <c r="O34" s="105">
        <f t="shared" si="6"/>
        <v>0</v>
      </c>
    </row>
    <row r="35" spans="1:15" ht="16.5" customHeight="1" x14ac:dyDescent="0.15">
      <c r="A35" s="263"/>
      <c r="B35" s="166" t="s">
        <v>26</v>
      </c>
      <c r="C35" s="105"/>
      <c r="D35" s="105"/>
      <c r="E35" s="105">
        <v>0</v>
      </c>
      <c r="F35" s="105">
        <v>0</v>
      </c>
      <c r="G35" s="105">
        <v>0</v>
      </c>
      <c r="H35" s="105"/>
      <c r="I35" s="105"/>
      <c r="J35" s="105"/>
      <c r="K35" s="105"/>
      <c r="L35" s="105"/>
      <c r="M35" s="105"/>
      <c r="N35" s="105"/>
      <c r="O35" s="105">
        <f t="shared" si="6"/>
        <v>0</v>
      </c>
    </row>
    <row r="36" spans="1:15" ht="16.5" customHeight="1" x14ac:dyDescent="0.15">
      <c r="A36" s="263"/>
      <c r="B36" s="166" t="s">
        <v>66</v>
      </c>
      <c r="C36" s="106"/>
      <c r="D36" s="105"/>
      <c r="E36" s="105">
        <v>0</v>
      </c>
      <c r="F36" s="105">
        <v>4875</v>
      </c>
      <c r="G36" s="105">
        <v>8938</v>
      </c>
      <c r="H36" s="105"/>
      <c r="I36" s="106"/>
      <c r="J36" s="106"/>
      <c r="K36" s="106"/>
      <c r="L36" s="106"/>
      <c r="M36" s="106"/>
      <c r="N36" s="106"/>
      <c r="O36" s="105">
        <f t="shared" si="6"/>
        <v>13813</v>
      </c>
    </row>
    <row r="37" spans="1:15" ht="16.5" customHeight="1" x14ac:dyDescent="0.15">
      <c r="A37" s="263"/>
      <c r="B37" s="166" t="s">
        <v>22</v>
      </c>
      <c r="C37" s="105"/>
      <c r="D37" s="105"/>
      <c r="E37" s="105">
        <v>10060</v>
      </c>
      <c r="F37" s="105">
        <v>10060</v>
      </c>
      <c r="G37" s="105">
        <v>0</v>
      </c>
      <c r="H37" s="105"/>
      <c r="I37" s="105"/>
      <c r="J37" s="105"/>
      <c r="K37" s="105"/>
      <c r="L37" s="105"/>
      <c r="M37" s="105"/>
      <c r="N37" s="105"/>
      <c r="O37" s="105">
        <f t="shared" si="6"/>
        <v>20120</v>
      </c>
    </row>
    <row r="38" spans="1:15" ht="16.5" customHeight="1" x14ac:dyDescent="0.15">
      <c r="A38" s="263"/>
      <c r="B38" s="166" t="s">
        <v>67</v>
      </c>
      <c r="C38" s="105"/>
      <c r="D38" s="105"/>
      <c r="E38" s="105">
        <v>0</v>
      </c>
      <c r="F38" s="105">
        <v>0</v>
      </c>
      <c r="G38" s="105">
        <v>0</v>
      </c>
      <c r="H38" s="105"/>
      <c r="I38" s="105"/>
      <c r="J38" s="105"/>
      <c r="K38" s="105"/>
      <c r="L38" s="105"/>
      <c r="M38" s="105"/>
      <c r="N38" s="105"/>
      <c r="O38" s="105">
        <f t="shared" si="6"/>
        <v>0</v>
      </c>
    </row>
    <row r="39" spans="1:15" ht="16.5" customHeight="1" x14ac:dyDescent="0.15">
      <c r="A39" s="263"/>
      <c r="B39" s="166" t="s">
        <v>23</v>
      </c>
      <c r="C39" s="105"/>
      <c r="D39" s="105"/>
      <c r="E39" s="105">
        <v>16766</v>
      </c>
      <c r="F39" s="105">
        <v>16766</v>
      </c>
      <c r="G39" s="105">
        <v>0</v>
      </c>
      <c r="H39" s="105"/>
      <c r="I39" s="105"/>
      <c r="J39" s="105"/>
      <c r="K39" s="105"/>
      <c r="L39" s="105"/>
      <c r="M39" s="105"/>
      <c r="N39" s="105"/>
      <c r="O39" s="105">
        <f t="shared" si="6"/>
        <v>33532</v>
      </c>
    </row>
    <row r="40" spans="1:15" ht="16.5" customHeight="1" x14ac:dyDescent="0.15">
      <c r="A40" s="263"/>
      <c r="B40" s="166" t="s">
        <v>157</v>
      </c>
      <c r="C40" s="105"/>
      <c r="D40" s="105"/>
      <c r="E40" s="105">
        <v>496</v>
      </c>
      <c r="F40" s="105">
        <v>1617</v>
      </c>
      <c r="G40" s="105">
        <v>1236</v>
      </c>
      <c r="H40" s="105"/>
      <c r="I40" s="105"/>
      <c r="J40" s="105"/>
      <c r="K40" s="105"/>
      <c r="L40" s="105"/>
      <c r="M40" s="105"/>
      <c r="N40" s="105"/>
      <c r="O40" s="105">
        <f t="shared" si="6"/>
        <v>3349</v>
      </c>
    </row>
    <row r="41" spans="1:15" ht="16.5" customHeight="1" x14ac:dyDescent="0.15">
      <c r="A41" s="263"/>
      <c r="B41" s="166" t="s">
        <v>158</v>
      </c>
      <c r="C41" s="105"/>
      <c r="D41" s="105"/>
      <c r="E41" s="105">
        <v>58500</v>
      </c>
      <c r="F41" s="105">
        <v>190125</v>
      </c>
      <c r="G41" s="105">
        <v>145438</v>
      </c>
      <c r="H41" s="105"/>
      <c r="I41" s="105"/>
      <c r="J41" s="105"/>
      <c r="K41" s="105"/>
      <c r="L41" s="105"/>
      <c r="M41" s="105"/>
      <c r="N41" s="105"/>
      <c r="O41" s="105">
        <f t="shared" si="6"/>
        <v>394063</v>
      </c>
    </row>
    <row r="42" spans="1:15" ht="16.5" customHeight="1" x14ac:dyDescent="0.15">
      <c r="A42" s="263"/>
      <c r="B42" s="171"/>
      <c r="C42" s="107"/>
      <c r="D42" s="107"/>
      <c r="E42" s="107">
        <v>1</v>
      </c>
      <c r="F42" s="107">
        <v>1</v>
      </c>
      <c r="G42" s="107">
        <v>1</v>
      </c>
      <c r="H42" s="107"/>
      <c r="I42" s="107"/>
      <c r="J42" s="107"/>
      <c r="K42" s="107"/>
      <c r="L42" s="107"/>
      <c r="M42" s="107"/>
      <c r="N42" s="107"/>
      <c r="O42" s="107"/>
    </row>
    <row r="43" spans="1:15" ht="16.5" customHeight="1" thickBot="1" x14ac:dyDescent="0.2">
      <c r="A43" s="263"/>
      <c r="B43" s="171" t="s">
        <v>161</v>
      </c>
      <c r="C43" s="107"/>
      <c r="D43" s="107"/>
      <c r="E43" s="107">
        <v>0</v>
      </c>
      <c r="F43" s="107">
        <v>0</v>
      </c>
      <c r="G43" s="107">
        <v>0</v>
      </c>
      <c r="H43" s="107"/>
      <c r="I43" s="107"/>
      <c r="J43" s="107"/>
      <c r="K43" s="107"/>
      <c r="L43" s="107"/>
      <c r="M43" s="107"/>
      <c r="N43" s="107"/>
      <c r="O43" s="168">
        <f>SUM(C43:N43)</f>
        <v>0</v>
      </c>
    </row>
    <row r="44" spans="1:15" ht="16.5" customHeight="1" thickTop="1" x14ac:dyDescent="0.15">
      <c r="A44" s="263"/>
      <c r="B44" s="169" t="s">
        <v>159</v>
      </c>
      <c r="C44" s="110"/>
      <c r="D44" s="110"/>
      <c r="E44" s="110">
        <v>-322</v>
      </c>
      <c r="F44" s="110">
        <v>59307</v>
      </c>
      <c r="G44" s="110">
        <v>65888</v>
      </c>
      <c r="H44" s="110" t="str">
        <f t="shared" ref="H44:M44" si="7">IF(H32="","",H32-SUM(H33:H40))</f>
        <v/>
      </c>
      <c r="I44" s="110" t="str">
        <f t="shared" si="7"/>
        <v/>
      </c>
      <c r="J44" s="110" t="str">
        <f t="shared" si="7"/>
        <v/>
      </c>
      <c r="K44" s="110" t="str">
        <f t="shared" si="7"/>
        <v/>
      </c>
      <c r="L44" s="110" t="str">
        <f t="shared" si="7"/>
        <v/>
      </c>
      <c r="M44" s="110" t="str">
        <f t="shared" si="7"/>
        <v/>
      </c>
      <c r="N44" s="110" t="str">
        <f>IF(N32="","",N32-SUM(N33:N40))</f>
        <v/>
      </c>
      <c r="O44" s="110">
        <f>IF(O32="","",O32-SUM(O33:O40))</f>
        <v>124873</v>
      </c>
    </row>
    <row r="45" spans="1:15" ht="16.5" customHeight="1" thickBot="1" x14ac:dyDescent="0.2">
      <c r="A45" s="264"/>
      <c r="B45" s="170" t="s">
        <v>160</v>
      </c>
      <c r="C45" s="112"/>
      <c r="D45" s="112"/>
      <c r="E45" s="112">
        <v>-3.7660818713450292E-3</v>
      </c>
      <c r="F45" s="112">
        <v>0.21343049932523617</v>
      </c>
      <c r="G45" s="112">
        <v>0.30997073794939828</v>
      </c>
      <c r="H45" s="112" t="str">
        <f t="shared" ref="H45:N45" si="8">IF(H32="","",IF(H32=0,"―     ",H44/H32))</f>
        <v/>
      </c>
      <c r="I45" s="112" t="str">
        <f t="shared" si="8"/>
        <v/>
      </c>
      <c r="J45" s="112" t="str">
        <f t="shared" si="8"/>
        <v/>
      </c>
      <c r="K45" s="112" t="str">
        <f t="shared" si="8"/>
        <v/>
      </c>
      <c r="L45" s="112" t="str">
        <f t="shared" si="8"/>
        <v/>
      </c>
      <c r="M45" s="112" t="str">
        <f t="shared" si="8"/>
        <v/>
      </c>
      <c r="N45" s="112" t="str">
        <f t="shared" si="8"/>
        <v/>
      </c>
      <c r="O45" s="112">
        <f>IF(O32="","",IF(O32=0,"―     ",O44/O32))</f>
        <v>0.21681711714996604</v>
      </c>
    </row>
    <row r="46" spans="1:15" ht="16.5" customHeight="1" x14ac:dyDescent="0.15">
      <c r="A46" s="251"/>
      <c r="B46" s="164" t="s">
        <v>21</v>
      </c>
      <c r="C46" s="102"/>
      <c r="D46" s="102"/>
      <c r="E46" s="102">
        <v>303441</v>
      </c>
      <c r="F46" s="102">
        <v>331440</v>
      </c>
      <c r="G46" s="102">
        <v>338079</v>
      </c>
      <c r="H46" s="102"/>
      <c r="I46" s="102"/>
      <c r="J46" s="102"/>
      <c r="K46" s="102"/>
      <c r="L46" s="102"/>
      <c r="M46" s="102"/>
      <c r="N46" s="102"/>
      <c r="O46" s="103">
        <f>SUM(C46:N46)</f>
        <v>972960</v>
      </c>
    </row>
    <row r="47" spans="1:15" ht="16.5" customHeight="1" x14ac:dyDescent="0.15">
      <c r="A47" s="263"/>
      <c r="B47" s="166" t="s">
        <v>155</v>
      </c>
      <c r="C47" s="105"/>
      <c r="D47" s="105"/>
      <c r="E47" s="105">
        <v>147224</v>
      </c>
      <c r="F47" s="105">
        <v>162074</v>
      </c>
      <c r="G47" s="105">
        <v>167387</v>
      </c>
      <c r="H47" s="105"/>
      <c r="I47" s="105"/>
      <c r="J47" s="105"/>
      <c r="K47" s="105"/>
      <c r="L47" s="105"/>
      <c r="M47" s="105"/>
      <c r="N47" s="105"/>
      <c r="O47" s="105">
        <f t="shared" ref="O47:O55" si="9">SUM(C47:N47)</f>
        <v>476685</v>
      </c>
    </row>
    <row r="48" spans="1:15" ht="16.5" customHeight="1" x14ac:dyDescent="0.15">
      <c r="A48" s="263"/>
      <c r="B48" s="166" t="s">
        <v>156</v>
      </c>
      <c r="C48" s="105"/>
      <c r="D48" s="105"/>
      <c r="E48" s="105">
        <v>0</v>
      </c>
      <c r="F48" s="105">
        <v>0</v>
      </c>
      <c r="G48" s="105">
        <v>0</v>
      </c>
      <c r="H48" s="105"/>
      <c r="I48" s="105"/>
      <c r="J48" s="105"/>
      <c r="K48" s="105"/>
      <c r="L48" s="105"/>
      <c r="M48" s="105"/>
      <c r="N48" s="105"/>
      <c r="O48" s="105">
        <f t="shared" si="9"/>
        <v>0</v>
      </c>
    </row>
    <row r="49" spans="1:15" ht="16.5" customHeight="1" x14ac:dyDescent="0.15">
      <c r="A49" s="263"/>
      <c r="B49" s="166" t="s">
        <v>26</v>
      </c>
      <c r="C49" s="105"/>
      <c r="D49" s="105"/>
      <c r="E49" s="105">
        <v>0</v>
      </c>
      <c r="F49" s="105">
        <v>0</v>
      </c>
      <c r="G49" s="105">
        <v>0</v>
      </c>
      <c r="H49" s="105"/>
      <c r="I49" s="105"/>
      <c r="J49" s="105"/>
      <c r="K49" s="105"/>
      <c r="L49" s="105"/>
      <c r="M49" s="105"/>
      <c r="N49" s="105"/>
      <c r="O49" s="105">
        <f t="shared" si="9"/>
        <v>0</v>
      </c>
    </row>
    <row r="50" spans="1:15" ht="16.5" customHeight="1" x14ac:dyDescent="0.15">
      <c r="A50" s="263"/>
      <c r="B50" s="166" t="s">
        <v>66</v>
      </c>
      <c r="C50" s="106"/>
      <c r="D50" s="105"/>
      <c r="E50" s="105">
        <v>43561</v>
      </c>
      <c r="F50" s="105">
        <v>46297</v>
      </c>
      <c r="G50" s="105">
        <v>45155</v>
      </c>
      <c r="H50" s="105"/>
      <c r="I50" s="106"/>
      <c r="J50" s="106"/>
      <c r="K50" s="106"/>
      <c r="L50" s="106"/>
      <c r="M50" s="106"/>
      <c r="N50" s="106"/>
      <c r="O50" s="105">
        <f t="shared" si="9"/>
        <v>135013</v>
      </c>
    </row>
    <row r="51" spans="1:15" ht="16.5" customHeight="1" x14ac:dyDescent="0.15">
      <c r="A51" s="263"/>
      <c r="B51" s="166" t="s">
        <v>22</v>
      </c>
      <c r="C51" s="105"/>
      <c r="D51" s="105"/>
      <c r="E51" s="105">
        <v>9054</v>
      </c>
      <c r="F51" s="105">
        <v>9054</v>
      </c>
      <c r="G51" s="105">
        <v>9054</v>
      </c>
      <c r="H51" s="105"/>
      <c r="I51" s="105"/>
      <c r="J51" s="105"/>
      <c r="K51" s="105"/>
      <c r="L51" s="105"/>
      <c r="M51" s="105"/>
      <c r="N51" s="105"/>
      <c r="O51" s="105">
        <f t="shared" si="9"/>
        <v>27162</v>
      </c>
    </row>
    <row r="52" spans="1:15" ht="16.5" customHeight="1" x14ac:dyDescent="0.15">
      <c r="A52" s="263"/>
      <c r="B52" s="166" t="s">
        <v>67</v>
      </c>
      <c r="C52" s="105"/>
      <c r="D52" s="105"/>
      <c r="E52" s="105">
        <v>0</v>
      </c>
      <c r="F52" s="105">
        <v>0</v>
      </c>
      <c r="G52" s="105">
        <v>0</v>
      </c>
      <c r="H52" s="105"/>
      <c r="I52" s="105"/>
      <c r="J52" s="105"/>
      <c r="K52" s="105"/>
      <c r="L52" s="105"/>
      <c r="M52" s="105"/>
      <c r="N52" s="105"/>
      <c r="O52" s="105">
        <f t="shared" si="9"/>
        <v>0</v>
      </c>
    </row>
    <row r="53" spans="1:15" ht="16.5" customHeight="1" x14ac:dyDescent="0.15">
      <c r="A53" s="263"/>
      <c r="B53" s="166" t="s">
        <v>23</v>
      </c>
      <c r="C53" s="105"/>
      <c r="D53" s="105"/>
      <c r="E53" s="105">
        <v>15089</v>
      </c>
      <c r="F53" s="105">
        <v>15089</v>
      </c>
      <c r="G53" s="105">
        <v>15089</v>
      </c>
      <c r="H53" s="105"/>
      <c r="I53" s="105"/>
      <c r="J53" s="105"/>
      <c r="K53" s="105"/>
      <c r="L53" s="105"/>
      <c r="M53" s="105"/>
      <c r="N53" s="105"/>
      <c r="O53" s="105">
        <f t="shared" si="9"/>
        <v>45267</v>
      </c>
    </row>
    <row r="54" spans="1:15" ht="16.5" customHeight="1" x14ac:dyDescent="0.15">
      <c r="A54" s="263"/>
      <c r="B54" s="166" t="s">
        <v>157</v>
      </c>
      <c r="C54" s="105"/>
      <c r="D54" s="105"/>
      <c r="E54" s="105">
        <v>1622</v>
      </c>
      <c r="F54" s="105">
        <v>1771</v>
      </c>
      <c r="G54" s="105">
        <v>1807</v>
      </c>
      <c r="H54" s="105"/>
      <c r="I54" s="105"/>
      <c r="J54" s="105"/>
      <c r="K54" s="105"/>
      <c r="L54" s="105"/>
      <c r="M54" s="105"/>
      <c r="N54" s="105"/>
      <c r="O54" s="105">
        <f t="shared" si="9"/>
        <v>5200</v>
      </c>
    </row>
    <row r="55" spans="1:15" ht="16.5" customHeight="1" x14ac:dyDescent="0.15">
      <c r="A55" s="263"/>
      <c r="B55" s="166" t="s">
        <v>158</v>
      </c>
      <c r="C55" s="105"/>
      <c r="D55" s="105"/>
      <c r="E55" s="105">
        <v>190785</v>
      </c>
      <c r="F55" s="105">
        <v>208371</v>
      </c>
      <c r="G55" s="105">
        <v>212542</v>
      </c>
      <c r="H55" s="105"/>
      <c r="I55" s="105"/>
      <c r="J55" s="105"/>
      <c r="K55" s="105"/>
      <c r="L55" s="105"/>
      <c r="M55" s="105"/>
      <c r="N55" s="105"/>
      <c r="O55" s="105">
        <f t="shared" si="9"/>
        <v>611698</v>
      </c>
    </row>
    <row r="56" spans="1:15" ht="16.5" customHeight="1" x14ac:dyDescent="0.15">
      <c r="A56" s="263"/>
      <c r="B56" s="171"/>
      <c r="C56" s="107"/>
      <c r="D56" s="107"/>
      <c r="E56" s="107">
        <v>1</v>
      </c>
      <c r="F56" s="107">
        <v>1</v>
      </c>
      <c r="G56" s="107">
        <v>1</v>
      </c>
      <c r="H56" s="107"/>
      <c r="I56" s="107"/>
      <c r="J56" s="107"/>
      <c r="K56" s="107"/>
      <c r="L56" s="107"/>
      <c r="M56" s="107"/>
      <c r="N56" s="107"/>
      <c r="O56" s="107"/>
    </row>
    <row r="57" spans="1:15" ht="16.5" customHeight="1" thickBot="1" x14ac:dyDescent="0.2">
      <c r="A57" s="263"/>
      <c r="B57" s="171" t="s">
        <v>161</v>
      </c>
      <c r="C57" s="107"/>
      <c r="D57" s="107"/>
      <c r="E57" s="107">
        <v>0</v>
      </c>
      <c r="F57" s="107">
        <v>0</v>
      </c>
      <c r="G57" s="107">
        <v>0</v>
      </c>
      <c r="H57" s="107"/>
      <c r="I57" s="107"/>
      <c r="J57" s="107"/>
      <c r="K57" s="107"/>
      <c r="L57" s="107"/>
      <c r="M57" s="107"/>
      <c r="N57" s="107"/>
      <c r="O57" s="168">
        <f>SUM(C57:N57)</f>
        <v>0</v>
      </c>
    </row>
    <row r="58" spans="1:15" ht="16.5" customHeight="1" thickTop="1" x14ac:dyDescent="0.15">
      <c r="A58" s="263"/>
      <c r="B58" s="169" t="s">
        <v>159</v>
      </c>
      <c r="C58" s="110"/>
      <c r="D58" s="110"/>
      <c r="E58" s="110">
        <v>86891</v>
      </c>
      <c r="F58" s="110">
        <v>97155</v>
      </c>
      <c r="G58" s="110">
        <v>99587</v>
      </c>
      <c r="H58" s="110" t="str">
        <f t="shared" ref="H58:M58" si="10">IF(H46="","",H46-SUM(H47:H54))</f>
        <v/>
      </c>
      <c r="I58" s="110" t="str">
        <f t="shared" si="10"/>
        <v/>
      </c>
      <c r="J58" s="110" t="str">
        <f t="shared" si="10"/>
        <v/>
      </c>
      <c r="K58" s="110" t="str">
        <f t="shared" si="10"/>
        <v/>
      </c>
      <c r="L58" s="110" t="str">
        <f t="shared" si="10"/>
        <v/>
      </c>
      <c r="M58" s="110" t="str">
        <f t="shared" si="10"/>
        <v/>
      </c>
      <c r="N58" s="110" t="str">
        <f>IF(N46="","",N46-SUM(N47:N54))</f>
        <v/>
      </c>
      <c r="O58" s="110">
        <f>IF(O46="","",O46-SUM(O47:O54))</f>
        <v>283633</v>
      </c>
    </row>
    <row r="59" spans="1:15" ht="16.5" customHeight="1" thickBot="1" x14ac:dyDescent="0.2">
      <c r="A59" s="264"/>
      <c r="B59" s="170" t="s">
        <v>160</v>
      </c>
      <c r="C59" s="112"/>
      <c r="D59" s="112"/>
      <c r="E59" s="112">
        <v>0.28635220685405072</v>
      </c>
      <c r="F59" s="112">
        <v>0.29312997827661114</v>
      </c>
      <c r="G59" s="112">
        <v>0.29456724611703183</v>
      </c>
      <c r="H59" s="112" t="str">
        <f t="shared" ref="H59:N59" si="11">IF(H46="","",IF(H46=0,"―     ",H58/H46))</f>
        <v/>
      </c>
      <c r="I59" s="112" t="str">
        <f t="shared" si="11"/>
        <v/>
      </c>
      <c r="J59" s="112" t="str">
        <f t="shared" si="11"/>
        <v/>
      </c>
      <c r="K59" s="112" t="str">
        <f t="shared" si="11"/>
        <v/>
      </c>
      <c r="L59" s="112" t="str">
        <f t="shared" si="11"/>
        <v/>
      </c>
      <c r="M59" s="112" t="str">
        <f t="shared" si="11"/>
        <v/>
      </c>
      <c r="N59" s="112" t="str">
        <f t="shared" si="11"/>
        <v/>
      </c>
      <c r="O59" s="112">
        <f>IF(O46="","",IF(O46=0,"―     ",O58/O46))</f>
        <v>0.29151558131886202</v>
      </c>
    </row>
    <row r="60" spans="1:15" ht="16.5" customHeight="1" x14ac:dyDescent="0.15">
      <c r="A60" s="251"/>
      <c r="B60" s="164" t="s">
        <v>21</v>
      </c>
      <c r="C60" s="102"/>
      <c r="D60" s="102"/>
      <c r="E60" s="102">
        <v>622000</v>
      </c>
      <c r="F60" s="102">
        <v>573187</v>
      </c>
      <c r="G60" s="102">
        <v>560987</v>
      </c>
      <c r="H60" s="102"/>
      <c r="I60" s="102"/>
      <c r="J60" s="102"/>
      <c r="K60" s="102"/>
      <c r="L60" s="102"/>
      <c r="M60" s="102"/>
      <c r="N60" s="102"/>
      <c r="O60" s="103">
        <f>SUM(C60:N60)</f>
        <v>1756174</v>
      </c>
    </row>
    <row r="61" spans="1:15" ht="16.5" customHeight="1" x14ac:dyDescent="0.15">
      <c r="A61" s="263"/>
      <c r="B61" s="166" t="s">
        <v>155</v>
      </c>
      <c r="C61" s="105"/>
      <c r="D61" s="105"/>
      <c r="E61" s="105">
        <v>426550</v>
      </c>
      <c r="F61" s="105">
        <v>406950</v>
      </c>
      <c r="G61" s="105">
        <v>378600</v>
      </c>
      <c r="H61" s="105"/>
      <c r="I61" s="105"/>
      <c r="J61" s="105"/>
      <c r="K61" s="105"/>
      <c r="L61" s="105"/>
      <c r="M61" s="105"/>
      <c r="N61" s="105"/>
      <c r="O61" s="105">
        <f t="shared" ref="O61:O69" si="12">SUM(C61:N61)</f>
        <v>1212100</v>
      </c>
    </row>
    <row r="62" spans="1:15" ht="16.5" customHeight="1" x14ac:dyDescent="0.15">
      <c r="A62" s="263"/>
      <c r="B62" s="166" t="s">
        <v>156</v>
      </c>
      <c r="C62" s="105"/>
      <c r="D62" s="105"/>
      <c r="E62" s="105">
        <v>0</v>
      </c>
      <c r="F62" s="105">
        <v>0</v>
      </c>
      <c r="G62" s="105">
        <v>0</v>
      </c>
      <c r="H62" s="105"/>
      <c r="I62" s="105"/>
      <c r="J62" s="105"/>
      <c r="K62" s="105"/>
      <c r="L62" s="105"/>
      <c r="M62" s="105"/>
      <c r="N62" s="105"/>
      <c r="O62" s="105">
        <f t="shared" si="12"/>
        <v>0</v>
      </c>
    </row>
    <row r="63" spans="1:15" ht="16.5" customHeight="1" x14ac:dyDescent="0.15">
      <c r="A63" s="263"/>
      <c r="B63" s="166" t="s">
        <v>26</v>
      </c>
      <c r="C63" s="105"/>
      <c r="D63" s="105"/>
      <c r="E63" s="105">
        <v>0</v>
      </c>
      <c r="F63" s="105">
        <v>0</v>
      </c>
      <c r="G63" s="105">
        <v>0</v>
      </c>
      <c r="H63" s="105"/>
      <c r="I63" s="105"/>
      <c r="J63" s="105"/>
      <c r="K63" s="105"/>
      <c r="L63" s="105"/>
      <c r="M63" s="105"/>
      <c r="N63" s="105"/>
      <c r="O63" s="105">
        <f t="shared" si="12"/>
        <v>0</v>
      </c>
    </row>
    <row r="64" spans="1:15" ht="16.5" customHeight="1" x14ac:dyDescent="0.15">
      <c r="A64" s="263"/>
      <c r="B64" s="166" t="s">
        <v>66</v>
      </c>
      <c r="C64" s="106"/>
      <c r="D64" s="105"/>
      <c r="E64" s="105">
        <v>344</v>
      </c>
      <c r="F64" s="105">
        <v>3000</v>
      </c>
      <c r="G64" s="105">
        <v>6000</v>
      </c>
      <c r="H64" s="105"/>
      <c r="I64" s="106"/>
      <c r="J64" s="106"/>
      <c r="K64" s="106"/>
      <c r="L64" s="106"/>
      <c r="M64" s="106"/>
      <c r="N64" s="106"/>
      <c r="O64" s="105">
        <f t="shared" si="12"/>
        <v>9344</v>
      </c>
    </row>
    <row r="65" spans="1:15" ht="16.5" customHeight="1" x14ac:dyDescent="0.15">
      <c r="A65" s="263"/>
      <c r="B65" s="166" t="s">
        <v>22</v>
      </c>
      <c r="C65" s="105"/>
      <c r="D65" s="105"/>
      <c r="E65" s="105">
        <v>26659</v>
      </c>
      <c r="F65" s="105">
        <v>18108</v>
      </c>
      <c r="G65" s="105">
        <v>18108</v>
      </c>
      <c r="H65" s="105"/>
      <c r="I65" s="105"/>
      <c r="J65" s="105"/>
      <c r="K65" s="105"/>
      <c r="L65" s="105"/>
      <c r="M65" s="105"/>
      <c r="N65" s="105"/>
      <c r="O65" s="105">
        <f t="shared" si="12"/>
        <v>62875</v>
      </c>
    </row>
    <row r="66" spans="1:15" ht="16.5" customHeight="1" x14ac:dyDescent="0.15">
      <c r="A66" s="263"/>
      <c r="B66" s="166" t="s">
        <v>67</v>
      </c>
      <c r="C66" s="105"/>
      <c r="D66" s="105"/>
      <c r="E66" s="105">
        <v>0</v>
      </c>
      <c r="F66" s="105">
        <v>0</v>
      </c>
      <c r="G66" s="105">
        <v>0</v>
      </c>
      <c r="H66" s="105"/>
      <c r="I66" s="105"/>
      <c r="J66" s="105"/>
      <c r="K66" s="105"/>
      <c r="L66" s="105"/>
      <c r="M66" s="105"/>
      <c r="N66" s="105"/>
      <c r="O66" s="105">
        <f t="shared" si="12"/>
        <v>0</v>
      </c>
    </row>
    <row r="67" spans="1:15" ht="16.5" customHeight="1" x14ac:dyDescent="0.15">
      <c r="A67" s="263"/>
      <c r="B67" s="166" t="s">
        <v>23</v>
      </c>
      <c r="C67" s="105"/>
      <c r="D67" s="105"/>
      <c r="E67" s="105">
        <v>44429</v>
      </c>
      <c r="F67" s="105">
        <v>30178</v>
      </c>
      <c r="G67" s="105">
        <v>30178</v>
      </c>
      <c r="H67" s="105"/>
      <c r="I67" s="105"/>
      <c r="J67" s="105"/>
      <c r="K67" s="105"/>
      <c r="L67" s="105"/>
      <c r="M67" s="105"/>
      <c r="N67" s="105"/>
      <c r="O67" s="105">
        <f t="shared" si="12"/>
        <v>104785</v>
      </c>
    </row>
    <row r="68" spans="1:15" ht="16.5" customHeight="1" x14ac:dyDescent="0.15">
      <c r="A68" s="263"/>
      <c r="B68" s="166" t="s">
        <v>157</v>
      </c>
      <c r="C68" s="105"/>
      <c r="D68" s="105"/>
      <c r="E68" s="105">
        <v>3628</v>
      </c>
      <c r="F68" s="105">
        <v>3338</v>
      </c>
      <c r="G68" s="105">
        <v>3270</v>
      </c>
      <c r="H68" s="105"/>
      <c r="I68" s="105"/>
      <c r="J68" s="105"/>
      <c r="K68" s="105"/>
      <c r="L68" s="105"/>
      <c r="M68" s="105"/>
      <c r="N68" s="105"/>
      <c r="O68" s="105">
        <f t="shared" si="12"/>
        <v>10236</v>
      </c>
    </row>
    <row r="69" spans="1:15" ht="16.5" customHeight="1" x14ac:dyDescent="0.15">
      <c r="A69" s="263"/>
      <c r="B69" s="166" t="s">
        <v>158</v>
      </c>
      <c r="C69" s="105"/>
      <c r="D69" s="105"/>
      <c r="E69" s="105">
        <v>426894</v>
      </c>
      <c r="F69" s="105">
        <v>409950</v>
      </c>
      <c r="G69" s="105">
        <v>384600</v>
      </c>
      <c r="H69" s="105"/>
      <c r="I69" s="105"/>
      <c r="J69" s="105"/>
      <c r="K69" s="105"/>
      <c r="L69" s="105"/>
      <c r="M69" s="105"/>
      <c r="N69" s="105"/>
      <c r="O69" s="105">
        <f t="shared" si="12"/>
        <v>1221444</v>
      </c>
    </row>
    <row r="70" spans="1:15" ht="16.5" customHeight="1" x14ac:dyDescent="0.15">
      <c r="A70" s="263"/>
      <c r="B70" s="171"/>
      <c r="C70" s="107"/>
      <c r="D70" s="107"/>
      <c r="E70" s="107">
        <v>3</v>
      </c>
      <c r="F70" s="107">
        <v>3</v>
      </c>
      <c r="G70" s="107">
        <v>2</v>
      </c>
      <c r="H70" s="107"/>
      <c r="I70" s="107"/>
      <c r="J70" s="107"/>
      <c r="K70" s="107"/>
      <c r="L70" s="107"/>
      <c r="M70" s="107"/>
      <c r="N70" s="107"/>
      <c r="O70" s="107"/>
    </row>
    <row r="71" spans="1:15" ht="16.5" customHeight="1" thickBot="1" x14ac:dyDescent="0.2">
      <c r="A71" s="263"/>
      <c r="B71" s="171" t="s">
        <v>161</v>
      </c>
      <c r="C71" s="107"/>
      <c r="D71" s="107"/>
      <c r="E71" s="107">
        <v>0</v>
      </c>
      <c r="F71" s="107">
        <v>0</v>
      </c>
      <c r="G71" s="107">
        <v>0</v>
      </c>
      <c r="H71" s="107"/>
      <c r="I71" s="107"/>
      <c r="J71" s="107"/>
      <c r="K71" s="107"/>
      <c r="L71" s="107"/>
      <c r="M71" s="107"/>
      <c r="N71" s="107"/>
      <c r="O71" s="168">
        <f>SUM(C71:N71)</f>
        <v>0</v>
      </c>
    </row>
    <row r="72" spans="1:15" ht="16.5" customHeight="1" thickTop="1" x14ac:dyDescent="0.15">
      <c r="A72" s="263"/>
      <c r="B72" s="169" t="s">
        <v>159</v>
      </c>
      <c r="C72" s="110"/>
      <c r="D72" s="110"/>
      <c r="E72" s="110">
        <v>120390</v>
      </c>
      <c r="F72" s="110">
        <v>111613</v>
      </c>
      <c r="G72" s="110">
        <v>124831</v>
      </c>
      <c r="H72" s="110" t="str">
        <f t="shared" ref="H72:M72" si="13">IF(H60="","",H60-SUM(H61:H68))</f>
        <v/>
      </c>
      <c r="I72" s="110" t="str">
        <f t="shared" si="13"/>
        <v/>
      </c>
      <c r="J72" s="110" t="str">
        <f t="shared" si="13"/>
        <v/>
      </c>
      <c r="K72" s="110" t="str">
        <f t="shared" si="13"/>
        <v/>
      </c>
      <c r="L72" s="110" t="str">
        <f t="shared" si="13"/>
        <v/>
      </c>
      <c r="M72" s="110" t="str">
        <f t="shared" si="13"/>
        <v/>
      </c>
      <c r="N72" s="110" t="str">
        <f>IF(N60="","",N60-SUM(N61:N68))</f>
        <v/>
      </c>
      <c r="O72" s="110">
        <f>IF(O60="","",O60-SUM(O61:O68))</f>
        <v>356834</v>
      </c>
    </row>
    <row r="73" spans="1:15" ht="16.5" customHeight="1" thickBot="1" x14ac:dyDescent="0.2">
      <c r="A73" s="264"/>
      <c r="B73" s="170" t="s">
        <v>160</v>
      </c>
      <c r="C73" s="112"/>
      <c r="D73" s="112"/>
      <c r="E73" s="112">
        <v>0.19355305466237943</v>
      </c>
      <c r="F73" s="112">
        <v>0.19472353699577974</v>
      </c>
      <c r="G73" s="112">
        <v>0.22252030795722538</v>
      </c>
      <c r="H73" s="112" t="str">
        <f t="shared" ref="H73:N73" si="14">IF(H60="","",IF(H60=0,"―     ",H72/H60))</f>
        <v/>
      </c>
      <c r="I73" s="112" t="str">
        <f t="shared" si="14"/>
        <v/>
      </c>
      <c r="J73" s="112" t="str">
        <f t="shared" si="14"/>
        <v/>
      </c>
      <c r="K73" s="112" t="str">
        <f t="shared" si="14"/>
        <v/>
      </c>
      <c r="L73" s="112" t="str">
        <f t="shared" si="14"/>
        <v/>
      </c>
      <c r="M73" s="112" t="str">
        <f t="shared" si="14"/>
        <v/>
      </c>
      <c r="N73" s="112" t="str">
        <f t="shared" si="14"/>
        <v/>
      </c>
      <c r="O73" s="112">
        <f>IF(O60="","",IF(O60=0,"―     ",O72/O60))</f>
        <v>0.20318829455395651</v>
      </c>
    </row>
    <row r="74" spans="1:15" ht="16.5" customHeight="1" x14ac:dyDescent="0.15">
      <c r="A74" s="251"/>
      <c r="B74" s="164" t="s">
        <v>21</v>
      </c>
      <c r="C74" s="102"/>
      <c r="D74" s="102"/>
      <c r="E74" s="102">
        <v>38675</v>
      </c>
      <c r="F74" s="102">
        <v>263500</v>
      </c>
      <c r="G74" s="102">
        <v>263925</v>
      </c>
      <c r="H74" s="102"/>
      <c r="I74" s="102"/>
      <c r="J74" s="102"/>
      <c r="K74" s="102"/>
      <c r="L74" s="102"/>
      <c r="M74" s="102"/>
      <c r="N74" s="102"/>
      <c r="O74" s="103">
        <f>SUM(C74:N74)</f>
        <v>566100</v>
      </c>
    </row>
    <row r="75" spans="1:15" ht="16.5" customHeight="1" x14ac:dyDescent="0.15">
      <c r="A75" s="263"/>
      <c r="B75" s="166" t="s">
        <v>155</v>
      </c>
      <c r="C75" s="105"/>
      <c r="D75" s="105"/>
      <c r="E75" s="105">
        <v>22750</v>
      </c>
      <c r="F75" s="105">
        <v>155000</v>
      </c>
      <c r="G75" s="105">
        <v>155250</v>
      </c>
      <c r="H75" s="105"/>
      <c r="I75" s="105"/>
      <c r="J75" s="105"/>
      <c r="K75" s="105"/>
      <c r="L75" s="105"/>
      <c r="M75" s="105"/>
      <c r="N75" s="105"/>
      <c r="O75" s="105">
        <f t="shared" ref="O75:O83" si="15">SUM(C75:N75)</f>
        <v>333000</v>
      </c>
    </row>
    <row r="76" spans="1:15" ht="16.5" customHeight="1" x14ac:dyDescent="0.15">
      <c r="A76" s="263"/>
      <c r="B76" s="166" t="s">
        <v>156</v>
      </c>
      <c r="C76" s="105"/>
      <c r="D76" s="105"/>
      <c r="E76" s="105">
        <v>0</v>
      </c>
      <c r="F76" s="105">
        <v>0</v>
      </c>
      <c r="G76" s="105">
        <v>0</v>
      </c>
      <c r="H76" s="105"/>
      <c r="I76" s="105"/>
      <c r="J76" s="105"/>
      <c r="K76" s="105"/>
      <c r="L76" s="105"/>
      <c r="M76" s="105"/>
      <c r="N76" s="105"/>
      <c r="O76" s="105">
        <f t="shared" si="15"/>
        <v>0</v>
      </c>
    </row>
    <row r="77" spans="1:15" ht="16.5" customHeight="1" x14ac:dyDescent="0.15">
      <c r="A77" s="263"/>
      <c r="B77" s="166" t="s">
        <v>26</v>
      </c>
      <c r="C77" s="105"/>
      <c r="D77" s="105"/>
      <c r="E77" s="105">
        <v>0</v>
      </c>
      <c r="F77" s="105">
        <v>0</v>
      </c>
      <c r="G77" s="105">
        <v>0</v>
      </c>
      <c r="H77" s="105"/>
      <c r="I77" s="105"/>
      <c r="J77" s="105"/>
      <c r="K77" s="105"/>
      <c r="L77" s="105"/>
      <c r="M77" s="105"/>
      <c r="N77" s="105"/>
      <c r="O77" s="105">
        <f t="shared" si="15"/>
        <v>0</v>
      </c>
    </row>
    <row r="78" spans="1:15" ht="16.5" customHeight="1" x14ac:dyDescent="0.15">
      <c r="A78" s="263"/>
      <c r="B78" s="166" t="s">
        <v>66</v>
      </c>
      <c r="C78" s="106"/>
      <c r="D78" s="105"/>
      <c r="E78" s="105">
        <v>0</v>
      </c>
      <c r="F78" s="105">
        <v>0</v>
      </c>
      <c r="G78" s="105">
        <v>0</v>
      </c>
      <c r="H78" s="105"/>
      <c r="I78" s="106"/>
      <c r="J78" s="106"/>
      <c r="K78" s="106"/>
      <c r="L78" s="106"/>
      <c r="M78" s="106"/>
      <c r="N78" s="106"/>
      <c r="O78" s="105">
        <f t="shared" si="15"/>
        <v>0</v>
      </c>
    </row>
    <row r="79" spans="1:15" ht="16.5" customHeight="1" x14ac:dyDescent="0.15">
      <c r="A79" s="263"/>
      <c r="B79" s="166" t="s">
        <v>22</v>
      </c>
      <c r="C79" s="105"/>
      <c r="D79" s="105"/>
      <c r="E79" s="105">
        <v>0</v>
      </c>
      <c r="F79" s="105">
        <v>0</v>
      </c>
      <c r="G79" s="105">
        <v>8048</v>
      </c>
      <c r="H79" s="105"/>
      <c r="I79" s="105"/>
      <c r="J79" s="105"/>
      <c r="K79" s="105"/>
      <c r="L79" s="105"/>
      <c r="M79" s="105"/>
      <c r="N79" s="105"/>
      <c r="O79" s="105">
        <f t="shared" si="15"/>
        <v>8048</v>
      </c>
    </row>
    <row r="80" spans="1:15" ht="16.5" customHeight="1" x14ac:dyDescent="0.15">
      <c r="A80" s="263"/>
      <c r="B80" s="166" t="s">
        <v>67</v>
      </c>
      <c r="C80" s="105"/>
      <c r="D80" s="105"/>
      <c r="E80" s="105">
        <v>0</v>
      </c>
      <c r="F80" s="105">
        <v>0</v>
      </c>
      <c r="G80" s="105">
        <v>0</v>
      </c>
      <c r="H80" s="105"/>
      <c r="I80" s="105"/>
      <c r="J80" s="105"/>
      <c r="K80" s="105"/>
      <c r="L80" s="105"/>
      <c r="M80" s="105"/>
      <c r="N80" s="105"/>
      <c r="O80" s="105">
        <f t="shared" si="15"/>
        <v>0</v>
      </c>
    </row>
    <row r="81" spans="1:15" ht="16.5" customHeight="1" x14ac:dyDescent="0.15">
      <c r="A81" s="263"/>
      <c r="B81" s="166" t="s">
        <v>23</v>
      </c>
      <c r="C81" s="105"/>
      <c r="D81" s="105"/>
      <c r="E81" s="105">
        <v>0</v>
      </c>
      <c r="F81" s="105">
        <v>0</v>
      </c>
      <c r="G81" s="105">
        <v>13413</v>
      </c>
      <c r="H81" s="105"/>
      <c r="I81" s="105"/>
      <c r="J81" s="105"/>
      <c r="K81" s="105"/>
      <c r="L81" s="105"/>
      <c r="M81" s="105"/>
      <c r="N81" s="105"/>
      <c r="O81" s="105">
        <f t="shared" si="15"/>
        <v>13413</v>
      </c>
    </row>
    <row r="82" spans="1:15" ht="16.5" customHeight="1" x14ac:dyDescent="0.15">
      <c r="A82" s="263"/>
      <c r="B82" s="166" t="s">
        <v>157</v>
      </c>
      <c r="C82" s="105"/>
      <c r="D82" s="105"/>
      <c r="E82" s="105">
        <v>194</v>
      </c>
      <c r="F82" s="105">
        <v>1318</v>
      </c>
      <c r="G82" s="105">
        <v>1319</v>
      </c>
      <c r="H82" s="105"/>
      <c r="I82" s="105"/>
      <c r="J82" s="105"/>
      <c r="K82" s="105"/>
      <c r="L82" s="105"/>
      <c r="M82" s="105"/>
      <c r="N82" s="105"/>
      <c r="O82" s="105">
        <f t="shared" si="15"/>
        <v>2831</v>
      </c>
    </row>
    <row r="83" spans="1:15" ht="16.5" customHeight="1" x14ac:dyDescent="0.15">
      <c r="A83" s="263"/>
      <c r="B83" s="166" t="s">
        <v>158</v>
      </c>
      <c r="C83" s="105"/>
      <c r="D83" s="105"/>
      <c r="E83" s="105">
        <v>22750</v>
      </c>
      <c r="F83" s="105">
        <v>155000</v>
      </c>
      <c r="G83" s="105">
        <v>155250</v>
      </c>
      <c r="H83" s="105"/>
      <c r="I83" s="105"/>
      <c r="J83" s="105"/>
      <c r="K83" s="105"/>
      <c r="L83" s="105"/>
      <c r="M83" s="105"/>
      <c r="N83" s="105"/>
      <c r="O83" s="105">
        <f t="shared" si="15"/>
        <v>333000</v>
      </c>
    </row>
    <row r="84" spans="1:15" ht="16.5" customHeight="1" x14ac:dyDescent="0.15">
      <c r="A84" s="263"/>
      <c r="B84" s="171"/>
      <c r="C84" s="107"/>
      <c r="D84" s="107"/>
      <c r="E84" s="107">
        <v>1</v>
      </c>
      <c r="F84" s="107">
        <v>1</v>
      </c>
      <c r="G84" s="107">
        <v>1</v>
      </c>
      <c r="H84" s="107"/>
      <c r="I84" s="107"/>
      <c r="J84" s="107"/>
      <c r="K84" s="107"/>
      <c r="L84" s="107"/>
      <c r="M84" s="107"/>
      <c r="N84" s="107"/>
      <c r="O84" s="107"/>
    </row>
    <row r="85" spans="1:15" ht="16.5" customHeight="1" thickBot="1" x14ac:dyDescent="0.2">
      <c r="A85" s="263"/>
      <c r="B85" s="171" t="s">
        <v>161</v>
      </c>
      <c r="C85" s="107"/>
      <c r="D85" s="107"/>
      <c r="E85" s="107">
        <v>0</v>
      </c>
      <c r="F85" s="107">
        <v>0</v>
      </c>
      <c r="G85" s="107">
        <v>0</v>
      </c>
      <c r="H85" s="107"/>
      <c r="I85" s="107"/>
      <c r="J85" s="107"/>
      <c r="K85" s="107"/>
      <c r="L85" s="107"/>
      <c r="M85" s="107"/>
      <c r="N85" s="107"/>
      <c r="O85" s="168">
        <f>SUM(C85:N85)</f>
        <v>0</v>
      </c>
    </row>
    <row r="86" spans="1:15" ht="16.5" customHeight="1" thickTop="1" x14ac:dyDescent="0.15">
      <c r="A86" s="263"/>
      <c r="B86" s="169" t="s">
        <v>159</v>
      </c>
      <c r="C86" s="110"/>
      <c r="D86" s="110"/>
      <c r="E86" s="110">
        <v>15731</v>
      </c>
      <c r="F86" s="110">
        <v>107182</v>
      </c>
      <c r="G86" s="110">
        <v>85895</v>
      </c>
      <c r="H86" s="110" t="str">
        <f t="shared" ref="H86:M86" si="16">IF(H74="","",H74-SUM(H75:H82))</f>
        <v/>
      </c>
      <c r="I86" s="110" t="str">
        <f t="shared" si="16"/>
        <v/>
      </c>
      <c r="J86" s="110" t="str">
        <f t="shared" si="16"/>
        <v/>
      </c>
      <c r="K86" s="110" t="str">
        <f t="shared" si="16"/>
        <v/>
      </c>
      <c r="L86" s="110" t="str">
        <f t="shared" si="16"/>
        <v/>
      </c>
      <c r="M86" s="110" t="str">
        <f t="shared" si="16"/>
        <v/>
      </c>
      <c r="N86" s="110" t="str">
        <f>IF(N74="","",N74-SUM(N75:N82))</f>
        <v/>
      </c>
      <c r="O86" s="110">
        <f>IF(O74="","",O74-SUM(O75:O82))</f>
        <v>208808</v>
      </c>
    </row>
    <row r="87" spans="1:15" ht="16.5" customHeight="1" thickBot="1" x14ac:dyDescent="0.2">
      <c r="A87" s="264"/>
      <c r="B87" s="170" t="s">
        <v>160</v>
      </c>
      <c r="C87" s="112"/>
      <c r="D87" s="112"/>
      <c r="E87" s="112">
        <v>0.40674854557207496</v>
      </c>
      <c r="F87" s="112">
        <v>0.40676280834914613</v>
      </c>
      <c r="G87" s="112">
        <v>0.32545230652647533</v>
      </c>
      <c r="H87" s="112" t="str">
        <f t="shared" ref="H87:N87" si="17">IF(H74="","",IF(H74=0,"―     ",H86/H74))</f>
        <v/>
      </c>
      <c r="I87" s="112" t="str">
        <f t="shared" si="17"/>
        <v/>
      </c>
      <c r="J87" s="112" t="str">
        <f t="shared" si="17"/>
        <v/>
      </c>
      <c r="K87" s="112" t="str">
        <f t="shared" si="17"/>
        <v/>
      </c>
      <c r="L87" s="112" t="str">
        <f t="shared" si="17"/>
        <v/>
      </c>
      <c r="M87" s="112" t="str">
        <f t="shared" si="17"/>
        <v/>
      </c>
      <c r="N87" s="112" t="str">
        <f t="shared" si="17"/>
        <v/>
      </c>
      <c r="O87" s="112">
        <f>IF(O74="","",IF(O74=0,"―     ",O86/O74))</f>
        <v>0.36885355944179471</v>
      </c>
    </row>
    <row r="88" spans="1:15" ht="16.5" customHeight="1" x14ac:dyDescent="0.15">
      <c r="A88" s="251"/>
      <c r="B88" s="164" t="s">
        <v>21</v>
      </c>
      <c r="C88" s="102"/>
      <c r="D88" s="102"/>
      <c r="E88" s="102">
        <v>217325</v>
      </c>
      <c r="F88" s="102">
        <v>255677</v>
      </c>
      <c r="G88" s="102">
        <v>255677</v>
      </c>
      <c r="H88" s="102"/>
      <c r="I88" s="102"/>
      <c r="J88" s="102"/>
      <c r="K88" s="102"/>
      <c r="L88" s="102"/>
      <c r="M88" s="102"/>
      <c r="N88" s="102"/>
      <c r="O88" s="103">
        <f>SUM(C88:N88)</f>
        <v>728679</v>
      </c>
    </row>
    <row r="89" spans="1:15" ht="16.5" customHeight="1" x14ac:dyDescent="0.15">
      <c r="A89" s="263"/>
      <c r="B89" s="166" t="s">
        <v>155</v>
      </c>
      <c r="C89" s="105"/>
      <c r="D89" s="105"/>
      <c r="E89" s="105">
        <v>144925</v>
      </c>
      <c r="F89" s="105">
        <v>170500</v>
      </c>
      <c r="G89" s="105">
        <v>170500</v>
      </c>
      <c r="H89" s="105"/>
      <c r="I89" s="105"/>
      <c r="J89" s="105"/>
      <c r="K89" s="105"/>
      <c r="L89" s="105"/>
      <c r="M89" s="105"/>
      <c r="N89" s="105"/>
      <c r="O89" s="105">
        <f t="shared" ref="O89:O97" si="18">SUM(C89:N89)</f>
        <v>485925</v>
      </c>
    </row>
    <row r="90" spans="1:15" ht="16.5" customHeight="1" x14ac:dyDescent="0.15">
      <c r="A90" s="263"/>
      <c r="B90" s="166" t="s">
        <v>156</v>
      </c>
      <c r="C90" s="105"/>
      <c r="D90" s="105"/>
      <c r="E90" s="105">
        <v>0</v>
      </c>
      <c r="F90" s="105">
        <v>0</v>
      </c>
      <c r="G90" s="105">
        <v>0</v>
      </c>
      <c r="H90" s="105"/>
      <c r="I90" s="105"/>
      <c r="J90" s="105"/>
      <c r="K90" s="105"/>
      <c r="L90" s="105"/>
      <c r="M90" s="105"/>
      <c r="N90" s="105"/>
      <c r="O90" s="105">
        <f t="shared" si="18"/>
        <v>0</v>
      </c>
    </row>
    <row r="91" spans="1:15" ht="16.5" customHeight="1" x14ac:dyDescent="0.15">
      <c r="A91" s="263"/>
      <c r="B91" s="166" t="s">
        <v>26</v>
      </c>
      <c r="C91" s="105"/>
      <c r="D91" s="105"/>
      <c r="E91" s="105">
        <v>0</v>
      </c>
      <c r="F91" s="105">
        <v>0</v>
      </c>
      <c r="G91" s="105">
        <v>0</v>
      </c>
      <c r="H91" s="105"/>
      <c r="I91" s="105"/>
      <c r="J91" s="105"/>
      <c r="K91" s="105"/>
      <c r="L91" s="105"/>
      <c r="M91" s="105"/>
      <c r="N91" s="105"/>
      <c r="O91" s="105">
        <f t="shared" si="18"/>
        <v>0</v>
      </c>
    </row>
    <row r="92" spans="1:15" ht="16.5" customHeight="1" x14ac:dyDescent="0.15">
      <c r="A92" s="263"/>
      <c r="B92" s="166" t="s">
        <v>66</v>
      </c>
      <c r="C92" s="106"/>
      <c r="D92" s="105"/>
      <c r="E92" s="105">
        <v>0</v>
      </c>
      <c r="F92" s="105">
        <v>0</v>
      </c>
      <c r="G92" s="105">
        <v>0</v>
      </c>
      <c r="H92" s="105"/>
      <c r="I92" s="106"/>
      <c r="J92" s="106"/>
      <c r="K92" s="106"/>
      <c r="L92" s="106"/>
      <c r="M92" s="106"/>
      <c r="N92" s="106"/>
      <c r="O92" s="105">
        <f t="shared" si="18"/>
        <v>0</v>
      </c>
    </row>
    <row r="93" spans="1:15" ht="16.5" customHeight="1" x14ac:dyDescent="0.15">
      <c r="A93" s="263"/>
      <c r="B93" s="166" t="s">
        <v>22</v>
      </c>
      <c r="C93" s="105"/>
      <c r="D93" s="105"/>
      <c r="E93" s="105">
        <v>0</v>
      </c>
      <c r="F93" s="105">
        <v>9557</v>
      </c>
      <c r="G93" s="105">
        <v>9557</v>
      </c>
      <c r="H93" s="105"/>
      <c r="I93" s="105"/>
      <c r="J93" s="105"/>
      <c r="K93" s="105"/>
      <c r="L93" s="105"/>
      <c r="M93" s="105"/>
      <c r="N93" s="105"/>
      <c r="O93" s="105">
        <f t="shared" si="18"/>
        <v>19114</v>
      </c>
    </row>
    <row r="94" spans="1:15" ht="16.5" customHeight="1" x14ac:dyDescent="0.15">
      <c r="A94" s="263"/>
      <c r="B94" s="166" t="s">
        <v>67</v>
      </c>
      <c r="C94" s="105"/>
      <c r="D94" s="105"/>
      <c r="E94" s="105">
        <v>0</v>
      </c>
      <c r="F94" s="105">
        <v>1472</v>
      </c>
      <c r="G94" s="105">
        <v>1472</v>
      </c>
      <c r="H94" s="105"/>
      <c r="I94" s="105"/>
      <c r="J94" s="105"/>
      <c r="K94" s="105"/>
      <c r="L94" s="105"/>
      <c r="M94" s="105"/>
      <c r="N94" s="105"/>
      <c r="O94" s="105">
        <f t="shared" si="18"/>
        <v>2944</v>
      </c>
    </row>
    <row r="95" spans="1:15" ht="16.5" customHeight="1" x14ac:dyDescent="0.15">
      <c r="A95" s="263"/>
      <c r="B95" s="166" t="s">
        <v>23</v>
      </c>
      <c r="C95" s="105"/>
      <c r="D95" s="105"/>
      <c r="E95" s="105">
        <v>0</v>
      </c>
      <c r="F95" s="105">
        <v>15928</v>
      </c>
      <c r="G95" s="105">
        <v>15928</v>
      </c>
      <c r="H95" s="105"/>
      <c r="I95" s="105"/>
      <c r="J95" s="105"/>
      <c r="K95" s="105"/>
      <c r="L95" s="105"/>
      <c r="M95" s="105"/>
      <c r="N95" s="105"/>
      <c r="O95" s="105">
        <f t="shared" si="18"/>
        <v>31856</v>
      </c>
    </row>
    <row r="96" spans="1:15" ht="16.5" customHeight="1" x14ac:dyDescent="0.15">
      <c r="A96" s="263"/>
      <c r="B96" s="166" t="s">
        <v>157</v>
      </c>
      <c r="C96" s="105"/>
      <c r="D96" s="105"/>
      <c r="E96" s="105">
        <v>0</v>
      </c>
      <c r="F96" s="105">
        <v>1448</v>
      </c>
      <c r="G96" s="105">
        <v>1448</v>
      </c>
      <c r="H96" s="105"/>
      <c r="I96" s="105"/>
      <c r="J96" s="105"/>
      <c r="K96" s="105"/>
      <c r="L96" s="105"/>
      <c r="M96" s="105"/>
      <c r="N96" s="105"/>
      <c r="O96" s="105">
        <f t="shared" si="18"/>
        <v>2896</v>
      </c>
    </row>
    <row r="97" spans="1:15" ht="16.5" customHeight="1" x14ac:dyDescent="0.15">
      <c r="A97" s="263"/>
      <c r="B97" s="166" t="s">
        <v>158</v>
      </c>
      <c r="C97" s="105"/>
      <c r="D97" s="105"/>
      <c r="E97" s="105">
        <v>144925</v>
      </c>
      <c r="F97" s="105">
        <v>170500</v>
      </c>
      <c r="G97" s="105">
        <v>170500</v>
      </c>
      <c r="H97" s="105"/>
      <c r="I97" s="105"/>
      <c r="J97" s="105"/>
      <c r="K97" s="105"/>
      <c r="L97" s="105"/>
      <c r="M97" s="105"/>
      <c r="N97" s="105"/>
      <c r="O97" s="105">
        <f t="shared" si="18"/>
        <v>485925</v>
      </c>
    </row>
    <row r="98" spans="1:15" ht="16.5" customHeight="1" x14ac:dyDescent="0.15">
      <c r="A98" s="263"/>
      <c r="B98" s="171"/>
      <c r="C98" s="107"/>
      <c r="D98" s="107"/>
      <c r="E98" s="107">
        <v>2</v>
      </c>
      <c r="F98" s="107">
        <v>1</v>
      </c>
      <c r="G98" s="107">
        <v>1</v>
      </c>
      <c r="H98" s="107"/>
      <c r="I98" s="107"/>
      <c r="J98" s="107"/>
      <c r="K98" s="107"/>
      <c r="L98" s="107"/>
      <c r="M98" s="107"/>
      <c r="N98" s="107"/>
      <c r="O98" s="107"/>
    </row>
    <row r="99" spans="1:15" ht="16.5" customHeight="1" thickBot="1" x14ac:dyDescent="0.2">
      <c r="A99" s="263"/>
      <c r="B99" s="171" t="s">
        <v>161</v>
      </c>
      <c r="C99" s="107"/>
      <c r="D99" s="107"/>
      <c r="E99" s="107">
        <v>0</v>
      </c>
      <c r="F99" s="107">
        <v>0</v>
      </c>
      <c r="G99" s="107">
        <v>0</v>
      </c>
      <c r="H99" s="107"/>
      <c r="I99" s="107"/>
      <c r="J99" s="107"/>
      <c r="K99" s="107"/>
      <c r="L99" s="107"/>
      <c r="M99" s="107"/>
      <c r="N99" s="107"/>
      <c r="O99" s="168">
        <f>SUM(C99:N99)</f>
        <v>0</v>
      </c>
    </row>
    <row r="100" spans="1:15" ht="16.5" customHeight="1" thickTop="1" x14ac:dyDescent="0.15">
      <c r="A100" s="263"/>
      <c r="B100" s="169" t="s">
        <v>159</v>
      </c>
      <c r="C100" s="110"/>
      <c r="D100" s="110"/>
      <c r="E100" s="110">
        <v>72400</v>
      </c>
      <c r="F100" s="110">
        <v>56772</v>
      </c>
      <c r="G100" s="110">
        <v>56772</v>
      </c>
      <c r="H100" s="110" t="str">
        <f t="shared" ref="H100:M100" si="19">IF(H88="","",H88-SUM(H89:H96))</f>
        <v/>
      </c>
      <c r="I100" s="110" t="str">
        <f t="shared" si="19"/>
        <v/>
      </c>
      <c r="J100" s="110" t="str">
        <f t="shared" si="19"/>
        <v/>
      </c>
      <c r="K100" s="110" t="str">
        <f t="shared" si="19"/>
        <v/>
      </c>
      <c r="L100" s="110" t="str">
        <f t="shared" si="19"/>
        <v/>
      </c>
      <c r="M100" s="110" t="str">
        <f t="shared" si="19"/>
        <v/>
      </c>
      <c r="N100" s="110" t="str">
        <f>IF(N88="","",N88-SUM(N89:N96))</f>
        <v/>
      </c>
      <c r="O100" s="110">
        <f>IF(O88="","",O88-SUM(O89:O96))</f>
        <v>185944</v>
      </c>
    </row>
    <row r="101" spans="1:15" ht="16.5" customHeight="1" thickBot="1" x14ac:dyDescent="0.2">
      <c r="A101" s="264"/>
      <c r="B101" s="170" t="s">
        <v>160</v>
      </c>
      <c r="C101" s="112"/>
      <c r="D101" s="112"/>
      <c r="E101" s="112">
        <v>0.3331416081904981</v>
      </c>
      <c r="F101" s="112">
        <v>0.22204578432944691</v>
      </c>
      <c r="G101" s="112">
        <v>0.22204578432944691</v>
      </c>
      <c r="H101" s="112" t="str">
        <f t="shared" ref="H101:N101" si="20">IF(H88="","",IF(H88=0,"―     ",H100/H88))</f>
        <v/>
      </c>
      <c r="I101" s="112" t="str">
        <f t="shared" si="20"/>
        <v/>
      </c>
      <c r="J101" s="112" t="str">
        <f t="shared" si="20"/>
        <v/>
      </c>
      <c r="K101" s="112" t="str">
        <f t="shared" si="20"/>
        <v/>
      </c>
      <c r="L101" s="112" t="str">
        <f t="shared" si="20"/>
        <v/>
      </c>
      <c r="M101" s="112" t="str">
        <f t="shared" si="20"/>
        <v/>
      </c>
      <c r="N101" s="112" t="str">
        <f t="shared" si="20"/>
        <v/>
      </c>
      <c r="O101" s="112">
        <f>IF(O88="","",IF(O88=0,"―     ",O100/O88))</f>
        <v>0.25517957838774002</v>
      </c>
    </row>
    <row r="102" spans="1:15" ht="16.5" customHeight="1" x14ac:dyDescent="0.15">
      <c r="A102" s="251"/>
      <c r="B102" s="164" t="s">
        <v>21</v>
      </c>
      <c r="C102" s="102"/>
      <c r="D102" s="102"/>
      <c r="E102" s="102"/>
      <c r="F102" s="102">
        <v>186862</v>
      </c>
      <c r="G102" s="102">
        <v>247500</v>
      </c>
      <c r="H102" s="102"/>
      <c r="I102" s="102"/>
      <c r="J102" s="102"/>
      <c r="K102" s="102"/>
      <c r="L102" s="102"/>
      <c r="M102" s="102"/>
      <c r="N102" s="102"/>
      <c r="O102" s="103">
        <f>SUM(C102:N102)</f>
        <v>434362</v>
      </c>
    </row>
    <row r="103" spans="1:15" ht="16.5" customHeight="1" x14ac:dyDescent="0.15">
      <c r="A103" s="263"/>
      <c r="B103" s="166" t="s">
        <v>155</v>
      </c>
      <c r="C103" s="105"/>
      <c r="D103" s="105"/>
      <c r="E103" s="105"/>
      <c r="F103" s="105">
        <v>127973</v>
      </c>
      <c r="G103" s="105">
        <v>169500</v>
      </c>
      <c r="H103" s="105"/>
      <c r="I103" s="105"/>
      <c r="J103" s="105"/>
      <c r="K103" s="105"/>
      <c r="L103" s="105"/>
      <c r="M103" s="105"/>
      <c r="N103" s="105"/>
      <c r="O103" s="105">
        <f t="shared" ref="O103:O111" si="21">SUM(C103:N103)</f>
        <v>297473</v>
      </c>
    </row>
    <row r="104" spans="1:15" ht="16.5" customHeight="1" x14ac:dyDescent="0.15">
      <c r="A104" s="263"/>
      <c r="B104" s="166" t="s">
        <v>156</v>
      </c>
      <c r="C104" s="105"/>
      <c r="D104" s="105"/>
      <c r="E104" s="105"/>
      <c r="F104" s="105">
        <v>0</v>
      </c>
      <c r="G104" s="105">
        <v>0</v>
      </c>
      <c r="H104" s="105"/>
      <c r="I104" s="105"/>
      <c r="J104" s="105"/>
      <c r="K104" s="105"/>
      <c r="L104" s="105"/>
      <c r="M104" s="105"/>
      <c r="N104" s="105"/>
      <c r="O104" s="105">
        <f t="shared" si="21"/>
        <v>0</v>
      </c>
    </row>
    <row r="105" spans="1:15" ht="16.5" customHeight="1" x14ac:dyDescent="0.15">
      <c r="A105" s="263"/>
      <c r="B105" s="166" t="s">
        <v>26</v>
      </c>
      <c r="C105" s="105"/>
      <c r="D105" s="105"/>
      <c r="E105" s="105"/>
      <c r="F105" s="105">
        <v>0</v>
      </c>
      <c r="G105" s="105">
        <v>0</v>
      </c>
      <c r="H105" s="105"/>
      <c r="I105" s="105"/>
      <c r="J105" s="105"/>
      <c r="K105" s="105"/>
      <c r="L105" s="105"/>
      <c r="M105" s="105"/>
      <c r="N105" s="105"/>
      <c r="O105" s="105">
        <f t="shared" si="21"/>
        <v>0</v>
      </c>
    </row>
    <row r="106" spans="1:15" ht="16.5" customHeight="1" x14ac:dyDescent="0.15">
      <c r="A106" s="263"/>
      <c r="B106" s="166" t="s">
        <v>66</v>
      </c>
      <c r="C106" s="106"/>
      <c r="D106" s="105"/>
      <c r="E106" s="105"/>
      <c r="F106" s="105">
        <v>0</v>
      </c>
      <c r="G106" s="105">
        <v>0</v>
      </c>
      <c r="H106" s="105"/>
      <c r="I106" s="106"/>
      <c r="J106" s="106"/>
      <c r="K106" s="106"/>
      <c r="L106" s="106"/>
      <c r="M106" s="106"/>
      <c r="N106" s="106"/>
      <c r="O106" s="105">
        <f t="shared" si="21"/>
        <v>0</v>
      </c>
    </row>
    <row r="107" spans="1:15" ht="16.5" customHeight="1" x14ac:dyDescent="0.15">
      <c r="A107" s="263"/>
      <c r="B107" s="166" t="s">
        <v>22</v>
      </c>
      <c r="C107" s="105"/>
      <c r="D107" s="105"/>
      <c r="E107" s="105"/>
      <c r="F107" s="105">
        <v>8551</v>
      </c>
      <c r="G107" s="105">
        <v>8551</v>
      </c>
      <c r="H107" s="105"/>
      <c r="I107" s="105"/>
      <c r="J107" s="105"/>
      <c r="K107" s="105"/>
      <c r="L107" s="105"/>
      <c r="M107" s="105"/>
      <c r="N107" s="105"/>
      <c r="O107" s="105">
        <f t="shared" si="21"/>
        <v>17102</v>
      </c>
    </row>
    <row r="108" spans="1:15" ht="16.5" customHeight="1" x14ac:dyDescent="0.15">
      <c r="A108" s="263"/>
      <c r="B108" s="166" t="s">
        <v>67</v>
      </c>
      <c r="C108" s="105"/>
      <c r="D108" s="105"/>
      <c r="E108" s="105"/>
      <c r="F108" s="105">
        <v>1317</v>
      </c>
      <c r="G108" s="105">
        <v>1317</v>
      </c>
      <c r="H108" s="105"/>
      <c r="I108" s="105"/>
      <c r="J108" s="105"/>
      <c r="K108" s="105"/>
      <c r="L108" s="105"/>
      <c r="M108" s="105"/>
      <c r="N108" s="105"/>
      <c r="O108" s="105">
        <f t="shared" si="21"/>
        <v>2634</v>
      </c>
    </row>
    <row r="109" spans="1:15" ht="16.5" customHeight="1" x14ac:dyDescent="0.15">
      <c r="A109" s="263"/>
      <c r="B109" s="166" t="s">
        <v>23</v>
      </c>
      <c r="C109" s="105"/>
      <c r="D109" s="105"/>
      <c r="E109" s="105"/>
      <c r="F109" s="105">
        <v>14251</v>
      </c>
      <c r="G109" s="105">
        <v>14251</v>
      </c>
      <c r="H109" s="105"/>
      <c r="I109" s="105"/>
      <c r="J109" s="105"/>
      <c r="K109" s="105"/>
      <c r="L109" s="105"/>
      <c r="M109" s="105"/>
      <c r="N109" s="105"/>
      <c r="O109" s="105">
        <f t="shared" si="21"/>
        <v>28502</v>
      </c>
    </row>
    <row r="110" spans="1:15" ht="16.5" customHeight="1" x14ac:dyDescent="0.15">
      <c r="A110" s="263"/>
      <c r="B110" s="166" t="s">
        <v>157</v>
      </c>
      <c r="C110" s="105"/>
      <c r="D110" s="105"/>
      <c r="E110" s="105"/>
      <c r="F110" s="105">
        <v>1088</v>
      </c>
      <c r="G110" s="105">
        <v>1440</v>
      </c>
      <c r="H110" s="105"/>
      <c r="I110" s="105"/>
      <c r="J110" s="105"/>
      <c r="K110" s="105"/>
      <c r="L110" s="105"/>
      <c r="M110" s="105"/>
      <c r="N110" s="105"/>
      <c r="O110" s="105">
        <f t="shared" si="21"/>
        <v>2528</v>
      </c>
    </row>
    <row r="111" spans="1:15" ht="16.5" customHeight="1" x14ac:dyDescent="0.15">
      <c r="A111" s="263"/>
      <c r="B111" s="166" t="s">
        <v>158</v>
      </c>
      <c r="C111" s="105"/>
      <c r="D111" s="105"/>
      <c r="E111" s="105"/>
      <c r="F111" s="105">
        <v>127973</v>
      </c>
      <c r="G111" s="105">
        <v>169500</v>
      </c>
      <c r="H111" s="105"/>
      <c r="I111" s="105"/>
      <c r="J111" s="105"/>
      <c r="K111" s="105"/>
      <c r="L111" s="105"/>
      <c r="M111" s="105"/>
      <c r="N111" s="105"/>
      <c r="O111" s="105">
        <f t="shared" si="21"/>
        <v>297473</v>
      </c>
    </row>
    <row r="112" spans="1:15" ht="16.5" customHeight="1" x14ac:dyDescent="0.15">
      <c r="A112" s="263"/>
      <c r="B112" s="171"/>
      <c r="C112" s="107"/>
      <c r="D112" s="107"/>
      <c r="E112" s="107"/>
      <c r="F112" s="107">
        <v>1</v>
      </c>
      <c r="G112" s="107">
        <v>1</v>
      </c>
      <c r="H112" s="107"/>
      <c r="I112" s="107"/>
      <c r="J112" s="107"/>
      <c r="K112" s="107"/>
      <c r="L112" s="107"/>
      <c r="M112" s="107"/>
      <c r="N112" s="107"/>
      <c r="O112" s="107"/>
    </row>
    <row r="113" spans="1:15" ht="16.5" customHeight="1" thickBot="1" x14ac:dyDescent="0.2">
      <c r="A113" s="263"/>
      <c r="B113" s="171" t="s">
        <v>161</v>
      </c>
      <c r="C113" s="107"/>
      <c r="D113" s="107"/>
      <c r="E113" s="107"/>
      <c r="F113" s="107">
        <v>0</v>
      </c>
      <c r="G113" s="107">
        <v>0</v>
      </c>
      <c r="H113" s="107"/>
      <c r="I113" s="107"/>
      <c r="J113" s="107"/>
      <c r="K113" s="107"/>
      <c r="L113" s="107"/>
      <c r="M113" s="107"/>
      <c r="N113" s="107"/>
      <c r="O113" s="168">
        <f>SUM(C113:N113)</f>
        <v>0</v>
      </c>
    </row>
    <row r="114" spans="1:15" ht="16.5" customHeight="1" thickTop="1" x14ac:dyDescent="0.15">
      <c r="A114" s="263"/>
      <c r="B114" s="169" t="s">
        <v>159</v>
      </c>
      <c r="C114" s="110"/>
      <c r="D114" s="110"/>
      <c r="E114" s="110"/>
      <c r="F114" s="110">
        <v>33682</v>
      </c>
      <c r="G114" s="110">
        <v>52441</v>
      </c>
      <c r="H114" s="110" t="str">
        <f t="shared" ref="H114:M114" si="22">IF(H102="","",H102-SUM(H103:H110))</f>
        <v/>
      </c>
      <c r="I114" s="110" t="str">
        <f t="shared" si="22"/>
        <v/>
      </c>
      <c r="J114" s="110" t="str">
        <f t="shared" si="22"/>
        <v/>
      </c>
      <c r="K114" s="110" t="str">
        <f t="shared" si="22"/>
        <v/>
      </c>
      <c r="L114" s="110" t="str">
        <f t="shared" si="22"/>
        <v/>
      </c>
      <c r="M114" s="110" t="str">
        <f t="shared" si="22"/>
        <v/>
      </c>
      <c r="N114" s="110" t="str">
        <f>IF(N102="","",N102-SUM(N103:N110))</f>
        <v/>
      </c>
      <c r="O114" s="110">
        <f>IF(O102="","",O102-SUM(O103:O110))</f>
        <v>86123</v>
      </c>
    </row>
    <row r="115" spans="1:15" ht="16.5" customHeight="1" thickBot="1" x14ac:dyDescent="0.2">
      <c r="A115" s="264"/>
      <c r="B115" s="170" t="s">
        <v>160</v>
      </c>
      <c r="C115" s="112"/>
      <c r="D115" s="112"/>
      <c r="E115" s="112"/>
      <c r="F115" s="112">
        <v>0.1802506662670848</v>
      </c>
      <c r="G115" s="112">
        <v>0.21188282828282828</v>
      </c>
      <c r="H115" s="112" t="str">
        <f t="shared" ref="H115:N115" si="23">IF(H102="","",IF(H102=0,"―     ",H114/H102))</f>
        <v/>
      </c>
      <c r="I115" s="112" t="str">
        <f t="shared" si="23"/>
        <v/>
      </c>
      <c r="J115" s="112" t="str">
        <f t="shared" si="23"/>
        <v/>
      </c>
      <c r="K115" s="112" t="str">
        <f t="shared" si="23"/>
        <v/>
      </c>
      <c r="L115" s="112" t="str">
        <f t="shared" si="23"/>
        <v/>
      </c>
      <c r="M115" s="112" t="str">
        <f t="shared" si="23"/>
        <v/>
      </c>
      <c r="N115" s="112" t="str">
        <f t="shared" si="23"/>
        <v/>
      </c>
      <c r="O115" s="112">
        <f>IF(O102="","",IF(O102=0,"―     ",O114/O102))</f>
        <v>0.19827471095537824</v>
      </c>
    </row>
    <row r="116" spans="1:15" ht="16.5" customHeight="1" x14ac:dyDescent="0.15">
      <c r="A116" s="251"/>
      <c r="B116" s="164" t="s">
        <v>21</v>
      </c>
      <c r="C116" s="102"/>
      <c r="D116" s="102"/>
      <c r="E116" s="102"/>
      <c r="F116" s="102"/>
      <c r="G116" s="102">
        <v>174824</v>
      </c>
      <c r="H116" s="102"/>
      <c r="I116" s="102"/>
      <c r="J116" s="102"/>
      <c r="K116" s="102"/>
      <c r="L116" s="102"/>
      <c r="M116" s="102"/>
      <c r="N116" s="102"/>
      <c r="O116" s="103">
        <f>SUM(C116:N116)</f>
        <v>174824</v>
      </c>
    </row>
    <row r="117" spans="1:15" ht="16.5" customHeight="1" x14ac:dyDescent="0.15">
      <c r="A117" s="263"/>
      <c r="B117" s="166" t="s">
        <v>155</v>
      </c>
      <c r="C117" s="105"/>
      <c r="D117" s="105"/>
      <c r="E117" s="105"/>
      <c r="F117" s="105"/>
      <c r="G117" s="105">
        <v>112800</v>
      </c>
      <c r="H117" s="105"/>
      <c r="I117" s="105"/>
      <c r="J117" s="105"/>
      <c r="K117" s="105"/>
      <c r="L117" s="105"/>
      <c r="M117" s="105"/>
      <c r="N117" s="105"/>
      <c r="O117" s="105">
        <f t="shared" ref="O117:O125" si="24">SUM(C117:N117)</f>
        <v>112800</v>
      </c>
    </row>
    <row r="118" spans="1:15" ht="16.5" customHeight="1" x14ac:dyDescent="0.15">
      <c r="A118" s="263"/>
      <c r="B118" s="166" t="s">
        <v>156</v>
      </c>
      <c r="C118" s="105"/>
      <c r="D118" s="105"/>
      <c r="E118" s="105"/>
      <c r="F118" s="105"/>
      <c r="G118" s="105">
        <v>0</v>
      </c>
      <c r="H118" s="105"/>
      <c r="I118" s="105"/>
      <c r="J118" s="105"/>
      <c r="K118" s="105"/>
      <c r="L118" s="105"/>
      <c r="M118" s="105"/>
      <c r="N118" s="105"/>
      <c r="O118" s="105">
        <f t="shared" si="24"/>
        <v>0</v>
      </c>
    </row>
    <row r="119" spans="1:15" ht="16.5" customHeight="1" x14ac:dyDescent="0.15">
      <c r="A119" s="263"/>
      <c r="B119" s="166" t="s">
        <v>26</v>
      </c>
      <c r="C119" s="105"/>
      <c r="D119" s="105"/>
      <c r="E119" s="105"/>
      <c r="F119" s="105"/>
      <c r="G119" s="105">
        <v>0</v>
      </c>
      <c r="H119" s="105"/>
      <c r="I119" s="105"/>
      <c r="J119" s="105"/>
      <c r="K119" s="105"/>
      <c r="L119" s="105"/>
      <c r="M119" s="105"/>
      <c r="N119" s="105"/>
      <c r="O119" s="105">
        <f t="shared" si="24"/>
        <v>0</v>
      </c>
    </row>
    <row r="120" spans="1:15" ht="16.5" customHeight="1" x14ac:dyDescent="0.15">
      <c r="A120" s="263"/>
      <c r="B120" s="166" t="s">
        <v>66</v>
      </c>
      <c r="C120" s="106"/>
      <c r="D120" s="105"/>
      <c r="E120" s="105"/>
      <c r="F120" s="105"/>
      <c r="G120" s="105">
        <v>3750</v>
      </c>
      <c r="H120" s="105"/>
      <c r="I120" s="106"/>
      <c r="J120" s="106"/>
      <c r="K120" s="106"/>
      <c r="L120" s="106"/>
      <c r="M120" s="106"/>
      <c r="N120" s="106"/>
      <c r="O120" s="105">
        <f t="shared" si="24"/>
        <v>3750</v>
      </c>
    </row>
    <row r="121" spans="1:15" ht="16.5" customHeight="1" x14ac:dyDescent="0.15">
      <c r="A121" s="263"/>
      <c r="B121" s="166" t="s">
        <v>22</v>
      </c>
      <c r="C121" s="105"/>
      <c r="D121" s="105"/>
      <c r="E121" s="105"/>
      <c r="F121" s="105"/>
      <c r="G121" s="105">
        <v>0</v>
      </c>
      <c r="H121" s="105"/>
      <c r="I121" s="105"/>
      <c r="J121" s="105"/>
      <c r="K121" s="105"/>
      <c r="L121" s="105"/>
      <c r="M121" s="105"/>
      <c r="N121" s="105"/>
      <c r="O121" s="105">
        <f t="shared" si="24"/>
        <v>0</v>
      </c>
    </row>
    <row r="122" spans="1:15" ht="16.5" customHeight="1" x14ac:dyDescent="0.15">
      <c r="A122" s="263"/>
      <c r="B122" s="166" t="s">
        <v>67</v>
      </c>
      <c r="C122" s="105"/>
      <c r="D122" s="105"/>
      <c r="E122" s="105"/>
      <c r="F122" s="105"/>
      <c r="G122" s="105">
        <v>0</v>
      </c>
      <c r="H122" s="105"/>
      <c r="I122" s="105"/>
      <c r="J122" s="105"/>
      <c r="K122" s="105"/>
      <c r="L122" s="105"/>
      <c r="M122" s="105"/>
      <c r="N122" s="105"/>
      <c r="O122" s="105">
        <f t="shared" si="24"/>
        <v>0</v>
      </c>
    </row>
    <row r="123" spans="1:15" ht="16.5" customHeight="1" x14ac:dyDescent="0.15">
      <c r="A123" s="263"/>
      <c r="B123" s="166" t="s">
        <v>23</v>
      </c>
      <c r="C123" s="105"/>
      <c r="D123" s="105"/>
      <c r="E123" s="105"/>
      <c r="F123" s="105"/>
      <c r="G123" s="105">
        <v>0</v>
      </c>
      <c r="H123" s="105"/>
      <c r="I123" s="105"/>
      <c r="J123" s="105"/>
      <c r="K123" s="105"/>
      <c r="L123" s="105"/>
      <c r="M123" s="105"/>
      <c r="N123" s="105"/>
      <c r="O123" s="105">
        <f t="shared" si="24"/>
        <v>0</v>
      </c>
    </row>
    <row r="124" spans="1:15" ht="16.5" customHeight="1" x14ac:dyDescent="0.15">
      <c r="A124" s="263"/>
      <c r="B124" s="166" t="s">
        <v>157</v>
      </c>
      <c r="C124" s="105"/>
      <c r="D124" s="105"/>
      <c r="E124" s="105"/>
      <c r="F124" s="105"/>
      <c r="G124" s="105">
        <v>0</v>
      </c>
      <c r="H124" s="105"/>
      <c r="I124" s="105"/>
      <c r="J124" s="105"/>
      <c r="K124" s="105"/>
      <c r="L124" s="105"/>
      <c r="M124" s="105"/>
      <c r="N124" s="105"/>
      <c r="O124" s="105">
        <f t="shared" si="24"/>
        <v>0</v>
      </c>
    </row>
    <row r="125" spans="1:15" ht="16.5" customHeight="1" x14ac:dyDescent="0.15">
      <c r="A125" s="263"/>
      <c r="B125" s="166" t="s">
        <v>158</v>
      </c>
      <c r="C125" s="105"/>
      <c r="D125" s="105"/>
      <c r="E125" s="105"/>
      <c r="F125" s="105"/>
      <c r="G125" s="105">
        <v>116550</v>
      </c>
      <c r="H125" s="105"/>
      <c r="I125" s="105"/>
      <c r="J125" s="105"/>
      <c r="K125" s="105"/>
      <c r="L125" s="105"/>
      <c r="M125" s="105"/>
      <c r="N125" s="105"/>
      <c r="O125" s="105">
        <f t="shared" si="24"/>
        <v>116550</v>
      </c>
    </row>
    <row r="126" spans="1:15" ht="16.5" customHeight="1" x14ac:dyDescent="0.15">
      <c r="A126" s="263"/>
      <c r="B126" s="171"/>
      <c r="C126" s="107"/>
      <c r="D126" s="107"/>
      <c r="E126" s="107"/>
      <c r="F126" s="107"/>
      <c r="G126" s="107">
        <v>1</v>
      </c>
      <c r="H126" s="107"/>
      <c r="I126" s="107"/>
      <c r="J126" s="107"/>
      <c r="K126" s="107"/>
      <c r="L126" s="107"/>
      <c r="M126" s="107"/>
      <c r="N126" s="107"/>
      <c r="O126" s="107"/>
    </row>
    <row r="127" spans="1:15" ht="16.5" customHeight="1" thickBot="1" x14ac:dyDescent="0.2">
      <c r="A127" s="263"/>
      <c r="B127" s="171" t="s">
        <v>161</v>
      </c>
      <c r="C127" s="107"/>
      <c r="D127" s="107"/>
      <c r="E127" s="107"/>
      <c r="F127" s="107"/>
      <c r="G127" s="107">
        <v>0</v>
      </c>
      <c r="H127" s="107"/>
      <c r="I127" s="107"/>
      <c r="J127" s="107"/>
      <c r="K127" s="107"/>
      <c r="L127" s="107"/>
      <c r="M127" s="107"/>
      <c r="N127" s="107"/>
      <c r="O127" s="168">
        <f>SUM(C127:N127)</f>
        <v>0</v>
      </c>
    </row>
    <row r="128" spans="1:15" ht="16.5" customHeight="1" thickTop="1" x14ac:dyDescent="0.15">
      <c r="A128" s="263"/>
      <c r="B128" s="169" t="s">
        <v>159</v>
      </c>
      <c r="C128" s="110"/>
      <c r="D128" s="110"/>
      <c r="E128" s="110"/>
      <c r="F128" s="110"/>
      <c r="G128" s="110">
        <v>58274</v>
      </c>
      <c r="H128" s="110" t="str">
        <f t="shared" ref="H128:M128" si="25">IF(H116="","",H116-SUM(H117:H124))</f>
        <v/>
      </c>
      <c r="I128" s="110" t="str">
        <f t="shared" si="25"/>
        <v/>
      </c>
      <c r="J128" s="110" t="str">
        <f t="shared" si="25"/>
        <v/>
      </c>
      <c r="K128" s="110" t="str">
        <f t="shared" si="25"/>
        <v/>
      </c>
      <c r="L128" s="110" t="str">
        <f t="shared" si="25"/>
        <v/>
      </c>
      <c r="M128" s="110" t="str">
        <f t="shared" si="25"/>
        <v/>
      </c>
      <c r="N128" s="110" t="str">
        <f>IF(N116="","",N116-SUM(N117:N124))</f>
        <v/>
      </c>
      <c r="O128" s="110">
        <f>IF(O116="","",O116-SUM(O117:O124))</f>
        <v>58274</v>
      </c>
    </row>
    <row r="129" spans="1:15" ht="16.5" customHeight="1" thickBot="1" x14ac:dyDescent="0.2">
      <c r="A129" s="264"/>
      <c r="B129" s="170" t="s">
        <v>160</v>
      </c>
      <c r="C129" s="112"/>
      <c r="D129" s="112"/>
      <c r="E129" s="112"/>
      <c r="F129" s="112"/>
      <c r="G129" s="112">
        <v>0.33332951997437421</v>
      </c>
      <c r="H129" s="112" t="str">
        <f t="shared" ref="H129:N129" si="26">IF(H116="","",IF(H116=0,"―     ",H128/H116))</f>
        <v/>
      </c>
      <c r="I129" s="112" t="str">
        <f t="shared" si="26"/>
        <v/>
      </c>
      <c r="J129" s="112" t="str">
        <f t="shared" si="26"/>
        <v/>
      </c>
      <c r="K129" s="112" t="str">
        <f t="shared" si="26"/>
        <v/>
      </c>
      <c r="L129" s="112" t="str">
        <f t="shared" si="26"/>
        <v/>
      </c>
      <c r="M129" s="112" t="str">
        <f t="shared" si="26"/>
        <v/>
      </c>
      <c r="N129" s="112" t="str">
        <f t="shared" si="26"/>
        <v/>
      </c>
      <c r="O129" s="112">
        <f>IF(O116="","",IF(O116=0,"―     ",O128/O116))</f>
        <v>0.33332951997437421</v>
      </c>
    </row>
    <row r="130" spans="1:15" ht="16.5" customHeight="1" x14ac:dyDescent="0.15">
      <c r="A130" s="251" t="s">
        <v>154</v>
      </c>
      <c r="B130" s="164" t="s">
        <v>21</v>
      </c>
      <c r="C130" s="102">
        <v>18724316</v>
      </c>
      <c r="D130" s="102">
        <v>20700043</v>
      </c>
      <c r="E130" s="102">
        <v>20067986</v>
      </c>
      <c r="F130" s="102">
        <v>19814222</v>
      </c>
      <c r="G130" s="102">
        <v>19696011</v>
      </c>
      <c r="H130" s="102">
        <v>19801544</v>
      </c>
      <c r="I130" s="102">
        <v>20397318</v>
      </c>
      <c r="J130" s="102">
        <v>21214394</v>
      </c>
      <c r="K130" s="102">
        <v>20028894</v>
      </c>
      <c r="L130" s="102">
        <v>20064999</v>
      </c>
      <c r="M130" s="102">
        <v>19628892</v>
      </c>
      <c r="N130" s="102">
        <v>19648248</v>
      </c>
      <c r="O130" s="103"/>
    </row>
    <row r="131" spans="1:15" ht="16.5" customHeight="1" x14ac:dyDescent="0.15">
      <c r="A131" s="263"/>
      <c r="B131" s="166" t="s">
        <v>155</v>
      </c>
      <c r="C131" s="105">
        <v>10300283</v>
      </c>
      <c r="D131" s="105">
        <v>11417638</v>
      </c>
      <c r="E131" s="105">
        <v>11097788</v>
      </c>
      <c r="F131" s="105">
        <v>11094959</v>
      </c>
      <c r="G131" s="105">
        <v>11686165</v>
      </c>
      <c r="H131" s="105">
        <v>11470812</v>
      </c>
      <c r="I131" s="105">
        <v>11936142</v>
      </c>
      <c r="J131" s="105">
        <v>11685923</v>
      </c>
      <c r="K131" s="105">
        <v>10960127</v>
      </c>
      <c r="L131" s="105">
        <v>10898619</v>
      </c>
      <c r="M131" s="105">
        <v>10666962</v>
      </c>
      <c r="N131" s="105">
        <v>10597595</v>
      </c>
      <c r="O131" s="105"/>
    </row>
    <row r="132" spans="1:15" ht="16.5" customHeight="1" x14ac:dyDescent="0.15">
      <c r="A132" s="263"/>
      <c r="B132" s="166" t="s">
        <v>156</v>
      </c>
      <c r="C132" s="105">
        <v>517948</v>
      </c>
      <c r="D132" s="105">
        <v>690844</v>
      </c>
      <c r="E132" s="105">
        <v>625591</v>
      </c>
      <c r="F132" s="105">
        <v>519175</v>
      </c>
      <c r="G132" s="105">
        <v>681400</v>
      </c>
      <c r="H132" s="105">
        <v>612149</v>
      </c>
      <c r="I132" s="105">
        <v>562387</v>
      </c>
      <c r="J132" s="105">
        <v>555651</v>
      </c>
      <c r="K132" s="105">
        <v>583333</v>
      </c>
      <c r="L132" s="105">
        <v>609395</v>
      </c>
      <c r="M132" s="105">
        <v>650055</v>
      </c>
      <c r="N132" s="105">
        <v>687181</v>
      </c>
      <c r="O132" s="105"/>
    </row>
    <row r="133" spans="1:15" ht="16.5" customHeight="1" x14ac:dyDescent="0.15">
      <c r="A133" s="263"/>
      <c r="B133" s="166" t="s">
        <v>26</v>
      </c>
      <c r="C133" s="105">
        <v>642690</v>
      </c>
      <c r="D133" s="105">
        <v>675122</v>
      </c>
      <c r="E133" s="105">
        <v>682630</v>
      </c>
      <c r="F133" s="105">
        <v>716591</v>
      </c>
      <c r="G133" s="105">
        <v>749528</v>
      </c>
      <c r="H133" s="105">
        <v>675124</v>
      </c>
      <c r="I133" s="105">
        <v>728871</v>
      </c>
      <c r="J133" s="105">
        <v>722864</v>
      </c>
      <c r="K133" s="105">
        <v>667581</v>
      </c>
      <c r="L133" s="105">
        <v>652244</v>
      </c>
      <c r="M133" s="105">
        <v>653931</v>
      </c>
      <c r="N133" s="105">
        <v>654576</v>
      </c>
      <c r="O133" s="105"/>
    </row>
    <row r="134" spans="1:15" ht="16.5" customHeight="1" x14ac:dyDescent="0.15">
      <c r="A134" s="263"/>
      <c r="B134" s="166" t="s">
        <v>66</v>
      </c>
      <c r="C134" s="106">
        <v>706721</v>
      </c>
      <c r="D134" s="106">
        <v>816647</v>
      </c>
      <c r="E134" s="106">
        <v>831413</v>
      </c>
      <c r="F134" s="106">
        <v>693637</v>
      </c>
      <c r="G134" s="106">
        <v>796298</v>
      </c>
      <c r="H134" s="106">
        <v>822823</v>
      </c>
      <c r="I134" s="106">
        <v>740795</v>
      </c>
      <c r="J134" s="106">
        <v>790566</v>
      </c>
      <c r="K134" s="106">
        <v>866121</v>
      </c>
      <c r="L134" s="106">
        <v>854049</v>
      </c>
      <c r="M134" s="106">
        <v>943133</v>
      </c>
      <c r="N134" s="106">
        <v>811650</v>
      </c>
      <c r="O134" s="105"/>
    </row>
    <row r="135" spans="1:15" ht="16.5" customHeight="1" x14ac:dyDescent="0.15">
      <c r="A135" s="263"/>
      <c r="B135" s="166" t="s">
        <v>22</v>
      </c>
      <c r="C135" s="105">
        <v>556686</v>
      </c>
      <c r="D135" s="105">
        <v>547281</v>
      </c>
      <c r="E135" s="105">
        <v>543704</v>
      </c>
      <c r="F135" s="105">
        <v>566188</v>
      </c>
      <c r="G135" s="105">
        <v>558523</v>
      </c>
      <c r="H135" s="105">
        <v>584788</v>
      </c>
      <c r="I135" s="105">
        <v>564859</v>
      </c>
      <c r="J135" s="105">
        <v>558727</v>
      </c>
      <c r="K135" s="105">
        <v>486165</v>
      </c>
      <c r="L135" s="105">
        <v>520402</v>
      </c>
      <c r="M135" s="105">
        <v>498940</v>
      </c>
      <c r="N135" s="105">
        <v>499962</v>
      </c>
      <c r="O135" s="105"/>
    </row>
    <row r="136" spans="1:15" ht="16.5" customHeight="1" x14ac:dyDescent="0.15">
      <c r="A136" s="263"/>
      <c r="B136" s="166" t="s">
        <v>67</v>
      </c>
      <c r="C136" s="105">
        <v>45450</v>
      </c>
      <c r="D136" s="105">
        <v>38540</v>
      </c>
      <c r="E136" s="105">
        <v>42312</v>
      </c>
      <c r="F136" s="105">
        <v>44116</v>
      </c>
      <c r="G136" s="105">
        <v>42722</v>
      </c>
      <c r="H136" s="105">
        <v>46494</v>
      </c>
      <c r="I136" s="105">
        <v>46412</v>
      </c>
      <c r="J136" s="105">
        <v>48544</v>
      </c>
      <c r="K136" s="105">
        <v>42312</v>
      </c>
      <c r="L136" s="105">
        <v>44198</v>
      </c>
      <c r="M136" s="105">
        <v>42394</v>
      </c>
      <c r="N136" s="105">
        <v>44198</v>
      </c>
      <c r="O136" s="105"/>
    </row>
    <row r="137" spans="1:15" ht="16.5" customHeight="1" x14ac:dyDescent="0.15">
      <c r="A137" s="263"/>
      <c r="B137" s="166" t="s">
        <v>23</v>
      </c>
      <c r="C137" s="105">
        <v>990030</v>
      </c>
      <c r="D137" s="105">
        <v>979965</v>
      </c>
      <c r="E137" s="105">
        <v>973560</v>
      </c>
      <c r="F137" s="105">
        <v>1013820</v>
      </c>
      <c r="G137" s="105">
        <v>1000095</v>
      </c>
      <c r="H137" s="105">
        <v>1047126</v>
      </c>
      <c r="I137" s="105">
        <v>1011441</v>
      </c>
      <c r="J137" s="105">
        <v>1000461</v>
      </c>
      <c r="K137" s="105">
        <v>870531</v>
      </c>
      <c r="L137" s="105">
        <v>931836</v>
      </c>
      <c r="M137" s="105">
        <v>893406</v>
      </c>
      <c r="N137" s="105">
        <v>895236</v>
      </c>
      <c r="O137" s="105"/>
    </row>
    <row r="138" spans="1:15" ht="16.5" customHeight="1" x14ac:dyDescent="0.15">
      <c r="A138" s="263"/>
      <c r="B138" s="166" t="s">
        <v>157</v>
      </c>
      <c r="C138" s="105">
        <v>56620</v>
      </c>
      <c r="D138" s="105">
        <v>62432</v>
      </c>
      <c r="E138" s="105">
        <v>62282</v>
      </c>
      <c r="F138" s="105">
        <v>60992</v>
      </c>
      <c r="G138" s="105">
        <v>64578</v>
      </c>
      <c r="H138" s="105">
        <v>63170</v>
      </c>
      <c r="I138" s="105">
        <v>65016</v>
      </c>
      <c r="J138" s="105">
        <v>90411</v>
      </c>
      <c r="K138" s="105">
        <v>85776</v>
      </c>
      <c r="L138" s="105">
        <v>86904</v>
      </c>
      <c r="M138" s="105">
        <v>84843</v>
      </c>
      <c r="N138" s="105">
        <v>83311</v>
      </c>
      <c r="O138" s="105"/>
    </row>
    <row r="139" spans="1:15" ht="16.5" customHeight="1" x14ac:dyDescent="0.15">
      <c r="A139" s="263"/>
      <c r="B139" s="166" t="s">
        <v>158</v>
      </c>
      <c r="C139" s="105">
        <v>12167642</v>
      </c>
      <c r="D139" s="105">
        <v>13600251</v>
      </c>
      <c r="E139" s="105">
        <v>13237422</v>
      </c>
      <c r="F139" s="105">
        <v>13024362</v>
      </c>
      <c r="G139" s="105">
        <v>13913391</v>
      </c>
      <c r="H139" s="105">
        <v>13580908</v>
      </c>
      <c r="I139" s="105">
        <v>13968195</v>
      </c>
      <c r="J139" s="105">
        <v>13755004</v>
      </c>
      <c r="K139" s="105">
        <v>13077162</v>
      </c>
      <c r="L139" s="105">
        <v>13014307</v>
      </c>
      <c r="M139" s="105">
        <v>12914081</v>
      </c>
      <c r="N139" s="105">
        <v>12751002</v>
      </c>
      <c r="O139" s="105"/>
    </row>
    <row r="140" spans="1:15" ht="16.5" customHeight="1" x14ac:dyDescent="0.15">
      <c r="A140" s="263"/>
      <c r="B140" s="171"/>
      <c r="C140" s="107">
        <v>83</v>
      </c>
      <c r="D140" s="107">
        <v>83</v>
      </c>
      <c r="E140" s="107">
        <v>81</v>
      </c>
      <c r="F140" s="107">
        <v>82</v>
      </c>
      <c r="G140" s="107">
        <v>87</v>
      </c>
      <c r="H140" s="107">
        <v>88</v>
      </c>
      <c r="I140" s="107">
        <v>87</v>
      </c>
      <c r="J140" s="107">
        <v>89</v>
      </c>
      <c r="K140" s="107">
        <v>84</v>
      </c>
      <c r="L140" s="107">
        <v>84</v>
      </c>
      <c r="M140" s="107">
        <v>81</v>
      </c>
      <c r="N140" s="107">
        <v>81</v>
      </c>
      <c r="O140" s="107"/>
    </row>
    <row r="141" spans="1:15" ht="16.5" customHeight="1" thickBot="1" x14ac:dyDescent="0.2">
      <c r="A141" s="263"/>
      <c r="B141" s="171" t="s">
        <v>170</v>
      </c>
      <c r="C141" s="107">
        <v>31</v>
      </c>
      <c r="D141" s="107">
        <v>52.5</v>
      </c>
      <c r="E141" s="107">
        <v>29.5</v>
      </c>
      <c r="F141" s="107">
        <v>37.5</v>
      </c>
      <c r="G141" s="107">
        <v>71.5</v>
      </c>
      <c r="H141" s="107">
        <v>52</v>
      </c>
      <c r="I141" s="107">
        <v>61</v>
      </c>
      <c r="J141" s="107">
        <v>61</v>
      </c>
      <c r="K141" s="107">
        <v>37</v>
      </c>
      <c r="L141" s="107">
        <v>49</v>
      </c>
      <c r="M141" s="107">
        <v>60</v>
      </c>
      <c r="N141" s="107">
        <v>50</v>
      </c>
      <c r="O141" s="168"/>
    </row>
    <row r="142" spans="1:15" ht="16.5" customHeight="1" thickTop="1" x14ac:dyDescent="0.15">
      <c r="A142" s="263"/>
      <c r="B142" s="169" t="s">
        <v>159</v>
      </c>
      <c r="C142" s="110">
        <v>4907888</v>
      </c>
      <c r="D142" s="110">
        <v>5471574</v>
      </c>
      <c r="E142" s="110">
        <v>5208706</v>
      </c>
      <c r="F142" s="110">
        <v>5104744</v>
      </c>
      <c r="G142" s="110">
        <v>4116702</v>
      </c>
      <c r="H142" s="110">
        <v>4479058</v>
      </c>
      <c r="I142" s="110">
        <v>4741395</v>
      </c>
      <c r="J142" s="110">
        <v>5761247</v>
      </c>
      <c r="K142" s="110">
        <v>5466948</v>
      </c>
      <c r="L142" s="110">
        <v>5467352</v>
      </c>
      <c r="M142" s="110">
        <v>5195228</v>
      </c>
      <c r="N142" s="110">
        <v>5374539</v>
      </c>
      <c r="O142" s="110"/>
    </row>
    <row r="143" spans="1:15" ht="16.5" customHeight="1" thickBot="1" x14ac:dyDescent="0.2">
      <c r="A143" s="264"/>
      <c r="B143" s="170" t="s">
        <v>160</v>
      </c>
      <c r="C143" s="112">
        <v>0.26211307264842143</v>
      </c>
      <c r="D143" s="112">
        <v>0.26432669729236796</v>
      </c>
      <c r="E143" s="112">
        <v>0.25955300148206201</v>
      </c>
      <c r="F143" s="112">
        <v>0.25763030211330024</v>
      </c>
      <c r="G143" s="112">
        <v>0.20901196694092017</v>
      </c>
      <c r="H143" s="112">
        <v>0.22619741167658441</v>
      </c>
      <c r="I143" s="112">
        <v>0.23245188411535281</v>
      </c>
      <c r="J143" s="112">
        <v>0.2715725464512444</v>
      </c>
      <c r="K143" s="112">
        <v>0.2729530647074172</v>
      </c>
      <c r="L143" s="112">
        <v>0.27248204697144512</v>
      </c>
      <c r="M143" s="112">
        <v>0.26467250418413835</v>
      </c>
      <c r="N143" s="112">
        <v>0.27353782383039954</v>
      </c>
      <c r="O143" s="112"/>
    </row>
    <row r="149" spans="7:7" x14ac:dyDescent="0.15">
      <c r="G149" s="179"/>
    </row>
    <row r="150" spans="7:7" x14ac:dyDescent="0.15">
      <c r="G150" s="179"/>
    </row>
  </sheetData>
  <autoFilter ref="A3:O195" xr:uid="{00000000-0009-0000-0000-00000B000000}"/>
  <mergeCells count="11">
    <mergeCell ref="A1:O1"/>
    <mergeCell ref="A4:A17"/>
    <mergeCell ref="A130:A143"/>
    <mergeCell ref="A32:A45"/>
    <mergeCell ref="A46:A59"/>
    <mergeCell ref="A60:A73"/>
    <mergeCell ref="A74:A87"/>
    <mergeCell ref="A88:A101"/>
    <mergeCell ref="A18:A31"/>
    <mergeCell ref="A102:A115"/>
    <mergeCell ref="A116:A129"/>
  </mergeCells>
  <phoneticPr fontId="3"/>
  <pageMargins left="0.19685039370078741" right="0.19685039370078741" top="0.19685039370078741" bottom="0.19685039370078741" header="0.19685039370078741" footer="0.19685039370078741"/>
  <pageSetup paperSize="9" scale="87" orientation="landscape" r:id="rId1"/>
  <headerFooter alignWithMargins="0">
    <oddHeader>&amp;R&amp;D  &amp;T</oddHeader>
    <oddFooter>&amp;C&amp;P/&amp;N&amp;R㈱タスクフォース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50"/>
  <sheetViews>
    <sheetView view="pageBreakPreview" zoomScale="85" zoomScaleNormal="100" zoomScaleSheetLayoutView="85" workbookViewId="0">
      <pane xSplit="2" ySplit="3" topLeftCell="C115" activePane="bottomRight" state="frozen"/>
      <selection activeCell="N270" sqref="N270:N283"/>
      <selection pane="topRight" activeCell="N270" sqref="N270:N283"/>
      <selection pane="bottomLeft" activeCell="N270" sqref="N270:N283"/>
      <selection pane="bottomRight" activeCell="A130" sqref="A130:A143"/>
    </sheetView>
  </sheetViews>
  <sheetFormatPr defaultRowHeight="13.5" x14ac:dyDescent="0.15"/>
  <cols>
    <col min="1" max="1" width="13.875" style="165" bestFit="1" customWidth="1"/>
    <col min="2" max="2" width="9" style="165"/>
    <col min="3" max="4" width="11.375" style="165" customWidth="1"/>
    <col min="5" max="5" width="11.75" style="165" bestFit="1" customWidth="1"/>
    <col min="6" max="9" width="10.875" style="165" bestFit="1" customWidth="1"/>
    <col min="10" max="10" width="11.25" style="165" bestFit="1" customWidth="1"/>
    <col min="11" max="11" width="10.875" style="165" customWidth="1"/>
    <col min="12" max="14" width="10" style="165" customWidth="1"/>
    <col min="15" max="15" width="13.625" style="165" bestFit="1" customWidth="1"/>
    <col min="16" max="256" width="9" style="165"/>
    <col min="257" max="257" width="13.875" style="165" bestFit="1" customWidth="1"/>
    <col min="258" max="258" width="9" style="165"/>
    <col min="259" max="260" width="11.375" style="165" customWidth="1"/>
    <col min="261" max="261" width="11.75" style="165" bestFit="1" customWidth="1"/>
    <col min="262" max="265" width="10.875" style="165" bestFit="1" customWidth="1"/>
    <col min="266" max="266" width="11.25" style="165" bestFit="1" customWidth="1"/>
    <col min="267" max="267" width="10.875" style="165" customWidth="1"/>
    <col min="268" max="270" width="10" style="165" customWidth="1"/>
    <col min="271" max="271" width="13.625" style="165" bestFit="1" customWidth="1"/>
    <col min="272" max="512" width="9" style="165"/>
    <col min="513" max="513" width="13.875" style="165" bestFit="1" customWidth="1"/>
    <col min="514" max="514" width="9" style="165"/>
    <col min="515" max="516" width="11.375" style="165" customWidth="1"/>
    <col min="517" max="517" width="11.75" style="165" bestFit="1" customWidth="1"/>
    <col min="518" max="521" width="10.875" style="165" bestFit="1" customWidth="1"/>
    <col min="522" max="522" width="11.25" style="165" bestFit="1" customWidth="1"/>
    <col min="523" max="523" width="10.875" style="165" customWidth="1"/>
    <col min="524" max="526" width="10" style="165" customWidth="1"/>
    <col min="527" max="527" width="13.625" style="165" bestFit="1" customWidth="1"/>
    <col min="528" max="768" width="9" style="165"/>
    <col min="769" max="769" width="13.875" style="165" bestFit="1" customWidth="1"/>
    <col min="770" max="770" width="9" style="165"/>
    <col min="771" max="772" width="11.375" style="165" customWidth="1"/>
    <col min="773" max="773" width="11.75" style="165" bestFit="1" customWidth="1"/>
    <col min="774" max="777" width="10.875" style="165" bestFit="1" customWidth="1"/>
    <col min="778" max="778" width="11.25" style="165" bestFit="1" customWidth="1"/>
    <col min="779" max="779" width="10.875" style="165" customWidth="1"/>
    <col min="780" max="782" width="10" style="165" customWidth="1"/>
    <col min="783" max="783" width="13.625" style="165" bestFit="1" customWidth="1"/>
    <col min="784" max="1024" width="9" style="165"/>
    <col min="1025" max="1025" width="13.875" style="165" bestFit="1" customWidth="1"/>
    <col min="1026" max="1026" width="9" style="165"/>
    <col min="1027" max="1028" width="11.375" style="165" customWidth="1"/>
    <col min="1029" max="1029" width="11.75" style="165" bestFit="1" customWidth="1"/>
    <col min="1030" max="1033" width="10.875" style="165" bestFit="1" customWidth="1"/>
    <col min="1034" max="1034" width="11.25" style="165" bestFit="1" customWidth="1"/>
    <col min="1035" max="1035" width="10.875" style="165" customWidth="1"/>
    <col min="1036" max="1038" width="10" style="165" customWidth="1"/>
    <col min="1039" max="1039" width="13.625" style="165" bestFit="1" customWidth="1"/>
    <col min="1040" max="1280" width="9" style="165"/>
    <col min="1281" max="1281" width="13.875" style="165" bestFit="1" customWidth="1"/>
    <col min="1282" max="1282" width="9" style="165"/>
    <col min="1283" max="1284" width="11.375" style="165" customWidth="1"/>
    <col min="1285" max="1285" width="11.75" style="165" bestFit="1" customWidth="1"/>
    <col min="1286" max="1289" width="10.875" style="165" bestFit="1" customWidth="1"/>
    <col min="1290" max="1290" width="11.25" style="165" bestFit="1" customWidth="1"/>
    <col min="1291" max="1291" width="10.875" style="165" customWidth="1"/>
    <col min="1292" max="1294" width="10" style="165" customWidth="1"/>
    <col min="1295" max="1295" width="13.625" style="165" bestFit="1" customWidth="1"/>
    <col min="1296" max="1536" width="9" style="165"/>
    <col min="1537" max="1537" width="13.875" style="165" bestFit="1" customWidth="1"/>
    <col min="1538" max="1538" width="9" style="165"/>
    <col min="1539" max="1540" width="11.375" style="165" customWidth="1"/>
    <col min="1541" max="1541" width="11.75" style="165" bestFit="1" customWidth="1"/>
    <col min="1542" max="1545" width="10.875" style="165" bestFit="1" customWidth="1"/>
    <col min="1546" max="1546" width="11.25" style="165" bestFit="1" customWidth="1"/>
    <col min="1547" max="1547" width="10.875" style="165" customWidth="1"/>
    <col min="1548" max="1550" width="10" style="165" customWidth="1"/>
    <col min="1551" max="1551" width="13.625" style="165" bestFit="1" customWidth="1"/>
    <col min="1552" max="1792" width="9" style="165"/>
    <col min="1793" max="1793" width="13.875" style="165" bestFit="1" customWidth="1"/>
    <col min="1794" max="1794" width="9" style="165"/>
    <col min="1795" max="1796" width="11.375" style="165" customWidth="1"/>
    <col min="1797" max="1797" width="11.75" style="165" bestFit="1" customWidth="1"/>
    <col min="1798" max="1801" width="10.875" style="165" bestFit="1" customWidth="1"/>
    <col min="1802" max="1802" width="11.25" style="165" bestFit="1" customWidth="1"/>
    <col min="1803" max="1803" width="10.875" style="165" customWidth="1"/>
    <col min="1804" max="1806" width="10" style="165" customWidth="1"/>
    <col min="1807" max="1807" width="13.625" style="165" bestFit="1" customWidth="1"/>
    <col min="1808" max="2048" width="9" style="165"/>
    <col min="2049" max="2049" width="13.875" style="165" bestFit="1" customWidth="1"/>
    <col min="2050" max="2050" width="9" style="165"/>
    <col min="2051" max="2052" width="11.375" style="165" customWidth="1"/>
    <col min="2053" max="2053" width="11.75" style="165" bestFit="1" customWidth="1"/>
    <col min="2054" max="2057" width="10.875" style="165" bestFit="1" customWidth="1"/>
    <col min="2058" max="2058" width="11.25" style="165" bestFit="1" customWidth="1"/>
    <col min="2059" max="2059" width="10.875" style="165" customWidth="1"/>
    <col min="2060" max="2062" width="10" style="165" customWidth="1"/>
    <col min="2063" max="2063" width="13.625" style="165" bestFit="1" customWidth="1"/>
    <col min="2064" max="2304" width="9" style="165"/>
    <col min="2305" max="2305" width="13.875" style="165" bestFit="1" customWidth="1"/>
    <col min="2306" max="2306" width="9" style="165"/>
    <col min="2307" max="2308" width="11.375" style="165" customWidth="1"/>
    <col min="2309" max="2309" width="11.75" style="165" bestFit="1" customWidth="1"/>
    <col min="2310" max="2313" width="10.875" style="165" bestFit="1" customWidth="1"/>
    <col min="2314" max="2314" width="11.25" style="165" bestFit="1" customWidth="1"/>
    <col min="2315" max="2315" width="10.875" style="165" customWidth="1"/>
    <col min="2316" max="2318" width="10" style="165" customWidth="1"/>
    <col min="2319" max="2319" width="13.625" style="165" bestFit="1" customWidth="1"/>
    <col min="2320" max="2560" width="9" style="165"/>
    <col min="2561" max="2561" width="13.875" style="165" bestFit="1" customWidth="1"/>
    <col min="2562" max="2562" width="9" style="165"/>
    <col min="2563" max="2564" width="11.375" style="165" customWidth="1"/>
    <col min="2565" max="2565" width="11.75" style="165" bestFit="1" customWidth="1"/>
    <col min="2566" max="2569" width="10.875" style="165" bestFit="1" customWidth="1"/>
    <col min="2570" max="2570" width="11.25" style="165" bestFit="1" customWidth="1"/>
    <col min="2571" max="2571" width="10.875" style="165" customWidth="1"/>
    <col min="2572" max="2574" width="10" style="165" customWidth="1"/>
    <col min="2575" max="2575" width="13.625" style="165" bestFit="1" customWidth="1"/>
    <col min="2576" max="2816" width="9" style="165"/>
    <col min="2817" max="2817" width="13.875" style="165" bestFit="1" customWidth="1"/>
    <col min="2818" max="2818" width="9" style="165"/>
    <col min="2819" max="2820" width="11.375" style="165" customWidth="1"/>
    <col min="2821" max="2821" width="11.75" style="165" bestFit="1" customWidth="1"/>
    <col min="2822" max="2825" width="10.875" style="165" bestFit="1" customWidth="1"/>
    <col min="2826" max="2826" width="11.25" style="165" bestFit="1" customWidth="1"/>
    <col min="2827" max="2827" width="10.875" style="165" customWidth="1"/>
    <col min="2828" max="2830" width="10" style="165" customWidth="1"/>
    <col min="2831" max="2831" width="13.625" style="165" bestFit="1" customWidth="1"/>
    <col min="2832" max="3072" width="9" style="165"/>
    <col min="3073" max="3073" width="13.875" style="165" bestFit="1" customWidth="1"/>
    <col min="3074" max="3074" width="9" style="165"/>
    <col min="3075" max="3076" width="11.375" style="165" customWidth="1"/>
    <col min="3077" max="3077" width="11.75" style="165" bestFit="1" customWidth="1"/>
    <col min="3078" max="3081" width="10.875" style="165" bestFit="1" customWidth="1"/>
    <col min="3082" max="3082" width="11.25" style="165" bestFit="1" customWidth="1"/>
    <col min="3083" max="3083" width="10.875" style="165" customWidth="1"/>
    <col min="3084" max="3086" width="10" style="165" customWidth="1"/>
    <col min="3087" max="3087" width="13.625" style="165" bestFit="1" customWidth="1"/>
    <col min="3088" max="3328" width="9" style="165"/>
    <col min="3329" max="3329" width="13.875" style="165" bestFit="1" customWidth="1"/>
    <col min="3330" max="3330" width="9" style="165"/>
    <col min="3331" max="3332" width="11.375" style="165" customWidth="1"/>
    <col min="3333" max="3333" width="11.75" style="165" bestFit="1" customWidth="1"/>
    <col min="3334" max="3337" width="10.875" style="165" bestFit="1" customWidth="1"/>
    <col min="3338" max="3338" width="11.25" style="165" bestFit="1" customWidth="1"/>
    <col min="3339" max="3339" width="10.875" style="165" customWidth="1"/>
    <col min="3340" max="3342" width="10" style="165" customWidth="1"/>
    <col min="3343" max="3343" width="13.625" style="165" bestFit="1" customWidth="1"/>
    <col min="3344" max="3584" width="9" style="165"/>
    <col min="3585" max="3585" width="13.875" style="165" bestFit="1" customWidth="1"/>
    <col min="3586" max="3586" width="9" style="165"/>
    <col min="3587" max="3588" width="11.375" style="165" customWidth="1"/>
    <col min="3589" max="3589" width="11.75" style="165" bestFit="1" customWidth="1"/>
    <col min="3590" max="3593" width="10.875" style="165" bestFit="1" customWidth="1"/>
    <col min="3594" max="3594" width="11.25" style="165" bestFit="1" customWidth="1"/>
    <col min="3595" max="3595" width="10.875" style="165" customWidth="1"/>
    <col min="3596" max="3598" width="10" style="165" customWidth="1"/>
    <col min="3599" max="3599" width="13.625" style="165" bestFit="1" customWidth="1"/>
    <col min="3600" max="3840" width="9" style="165"/>
    <col min="3841" max="3841" width="13.875" style="165" bestFit="1" customWidth="1"/>
    <col min="3842" max="3842" width="9" style="165"/>
    <col min="3843" max="3844" width="11.375" style="165" customWidth="1"/>
    <col min="3845" max="3845" width="11.75" style="165" bestFit="1" customWidth="1"/>
    <col min="3846" max="3849" width="10.875" style="165" bestFit="1" customWidth="1"/>
    <col min="3850" max="3850" width="11.25" style="165" bestFit="1" customWidth="1"/>
    <col min="3851" max="3851" width="10.875" style="165" customWidth="1"/>
    <col min="3852" max="3854" width="10" style="165" customWidth="1"/>
    <col min="3855" max="3855" width="13.625" style="165" bestFit="1" customWidth="1"/>
    <col min="3856" max="4096" width="9" style="165"/>
    <col min="4097" max="4097" width="13.875" style="165" bestFit="1" customWidth="1"/>
    <col min="4098" max="4098" width="9" style="165"/>
    <col min="4099" max="4100" width="11.375" style="165" customWidth="1"/>
    <col min="4101" max="4101" width="11.75" style="165" bestFit="1" customWidth="1"/>
    <col min="4102" max="4105" width="10.875" style="165" bestFit="1" customWidth="1"/>
    <col min="4106" max="4106" width="11.25" style="165" bestFit="1" customWidth="1"/>
    <col min="4107" max="4107" width="10.875" style="165" customWidth="1"/>
    <col min="4108" max="4110" width="10" style="165" customWidth="1"/>
    <col min="4111" max="4111" width="13.625" style="165" bestFit="1" customWidth="1"/>
    <col min="4112" max="4352" width="9" style="165"/>
    <col min="4353" max="4353" width="13.875" style="165" bestFit="1" customWidth="1"/>
    <col min="4354" max="4354" width="9" style="165"/>
    <col min="4355" max="4356" width="11.375" style="165" customWidth="1"/>
    <col min="4357" max="4357" width="11.75" style="165" bestFit="1" customWidth="1"/>
    <col min="4358" max="4361" width="10.875" style="165" bestFit="1" customWidth="1"/>
    <col min="4362" max="4362" width="11.25" style="165" bestFit="1" customWidth="1"/>
    <col min="4363" max="4363" width="10.875" style="165" customWidth="1"/>
    <col min="4364" max="4366" width="10" style="165" customWidth="1"/>
    <col min="4367" max="4367" width="13.625" style="165" bestFit="1" customWidth="1"/>
    <col min="4368" max="4608" width="9" style="165"/>
    <col min="4609" max="4609" width="13.875" style="165" bestFit="1" customWidth="1"/>
    <col min="4610" max="4610" width="9" style="165"/>
    <col min="4611" max="4612" width="11.375" style="165" customWidth="1"/>
    <col min="4613" max="4613" width="11.75" style="165" bestFit="1" customWidth="1"/>
    <col min="4614" max="4617" width="10.875" style="165" bestFit="1" customWidth="1"/>
    <col min="4618" max="4618" width="11.25" style="165" bestFit="1" customWidth="1"/>
    <col min="4619" max="4619" width="10.875" style="165" customWidth="1"/>
    <col min="4620" max="4622" width="10" style="165" customWidth="1"/>
    <col min="4623" max="4623" width="13.625" style="165" bestFit="1" customWidth="1"/>
    <col min="4624" max="4864" width="9" style="165"/>
    <col min="4865" max="4865" width="13.875" style="165" bestFit="1" customWidth="1"/>
    <col min="4866" max="4866" width="9" style="165"/>
    <col min="4867" max="4868" width="11.375" style="165" customWidth="1"/>
    <col min="4869" max="4869" width="11.75" style="165" bestFit="1" customWidth="1"/>
    <col min="4870" max="4873" width="10.875" style="165" bestFit="1" customWidth="1"/>
    <col min="4874" max="4874" width="11.25" style="165" bestFit="1" customWidth="1"/>
    <col min="4875" max="4875" width="10.875" style="165" customWidth="1"/>
    <col min="4876" max="4878" width="10" style="165" customWidth="1"/>
    <col min="4879" max="4879" width="13.625" style="165" bestFit="1" customWidth="1"/>
    <col min="4880" max="5120" width="9" style="165"/>
    <col min="5121" max="5121" width="13.875" style="165" bestFit="1" customWidth="1"/>
    <col min="5122" max="5122" width="9" style="165"/>
    <col min="5123" max="5124" width="11.375" style="165" customWidth="1"/>
    <col min="5125" max="5125" width="11.75" style="165" bestFit="1" customWidth="1"/>
    <col min="5126" max="5129" width="10.875" style="165" bestFit="1" customWidth="1"/>
    <col min="5130" max="5130" width="11.25" style="165" bestFit="1" customWidth="1"/>
    <col min="5131" max="5131" width="10.875" style="165" customWidth="1"/>
    <col min="5132" max="5134" width="10" style="165" customWidth="1"/>
    <col min="5135" max="5135" width="13.625" style="165" bestFit="1" customWidth="1"/>
    <col min="5136" max="5376" width="9" style="165"/>
    <col min="5377" max="5377" width="13.875" style="165" bestFit="1" customWidth="1"/>
    <col min="5378" max="5378" width="9" style="165"/>
    <col min="5379" max="5380" width="11.375" style="165" customWidth="1"/>
    <col min="5381" max="5381" width="11.75" style="165" bestFit="1" customWidth="1"/>
    <col min="5382" max="5385" width="10.875" style="165" bestFit="1" customWidth="1"/>
    <col min="5386" max="5386" width="11.25" style="165" bestFit="1" customWidth="1"/>
    <col min="5387" max="5387" width="10.875" style="165" customWidth="1"/>
    <col min="5388" max="5390" width="10" style="165" customWidth="1"/>
    <col min="5391" max="5391" width="13.625" style="165" bestFit="1" customWidth="1"/>
    <col min="5392" max="5632" width="9" style="165"/>
    <col min="5633" max="5633" width="13.875" style="165" bestFit="1" customWidth="1"/>
    <col min="5634" max="5634" width="9" style="165"/>
    <col min="5635" max="5636" width="11.375" style="165" customWidth="1"/>
    <col min="5637" max="5637" width="11.75" style="165" bestFit="1" customWidth="1"/>
    <col min="5638" max="5641" width="10.875" style="165" bestFit="1" customWidth="1"/>
    <col min="5642" max="5642" width="11.25" style="165" bestFit="1" customWidth="1"/>
    <col min="5643" max="5643" width="10.875" style="165" customWidth="1"/>
    <col min="5644" max="5646" width="10" style="165" customWidth="1"/>
    <col min="5647" max="5647" width="13.625" style="165" bestFit="1" customWidth="1"/>
    <col min="5648" max="5888" width="9" style="165"/>
    <col min="5889" max="5889" width="13.875" style="165" bestFit="1" customWidth="1"/>
    <col min="5890" max="5890" width="9" style="165"/>
    <col min="5891" max="5892" width="11.375" style="165" customWidth="1"/>
    <col min="5893" max="5893" width="11.75" style="165" bestFit="1" customWidth="1"/>
    <col min="5894" max="5897" width="10.875" style="165" bestFit="1" customWidth="1"/>
    <col min="5898" max="5898" width="11.25" style="165" bestFit="1" customWidth="1"/>
    <col min="5899" max="5899" width="10.875" style="165" customWidth="1"/>
    <col min="5900" max="5902" width="10" style="165" customWidth="1"/>
    <col min="5903" max="5903" width="13.625" style="165" bestFit="1" customWidth="1"/>
    <col min="5904" max="6144" width="9" style="165"/>
    <col min="6145" max="6145" width="13.875" style="165" bestFit="1" customWidth="1"/>
    <col min="6146" max="6146" width="9" style="165"/>
    <col min="6147" max="6148" width="11.375" style="165" customWidth="1"/>
    <col min="6149" max="6149" width="11.75" style="165" bestFit="1" customWidth="1"/>
    <col min="6150" max="6153" width="10.875" style="165" bestFit="1" customWidth="1"/>
    <col min="6154" max="6154" width="11.25" style="165" bestFit="1" customWidth="1"/>
    <col min="6155" max="6155" width="10.875" style="165" customWidth="1"/>
    <col min="6156" max="6158" width="10" style="165" customWidth="1"/>
    <col min="6159" max="6159" width="13.625" style="165" bestFit="1" customWidth="1"/>
    <col min="6160" max="6400" width="9" style="165"/>
    <col min="6401" max="6401" width="13.875" style="165" bestFit="1" customWidth="1"/>
    <col min="6402" max="6402" width="9" style="165"/>
    <col min="6403" max="6404" width="11.375" style="165" customWidth="1"/>
    <col min="6405" max="6405" width="11.75" style="165" bestFit="1" customWidth="1"/>
    <col min="6406" max="6409" width="10.875" style="165" bestFit="1" customWidth="1"/>
    <col min="6410" max="6410" width="11.25" style="165" bestFit="1" customWidth="1"/>
    <col min="6411" max="6411" width="10.875" style="165" customWidth="1"/>
    <col min="6412" max="6414" width="10" style="165" customWidth="1"/>
    <col min="6415" max="6415" width="13.625" style="165" bestFit="1" customWidth="1"/>
    <col min="6416" max="6656" width="9" style="165"/>
    <col min="6657" max="6657" width="13.875" style="165" bestFit="1" customWidth="1"/>
    <col min="6658" max="6658" width="9" style="165"/>
    <col min="6659" max="6660" width="11.375" style="165" customWidth="1"/>
    <col min="6661" max="6661" width="11.75" style="165" bestFit="1" customWidth="1"/>
    <col min="6662" max="6665" width="10.875" style="165" bestFit="1" customWidth="1"/>
    <col min="6666" max="6666" width="11.25" style="165" bestFit="1" customWidth="1"/>
    <col min="6667" max="6667" width="10.875" style="165" customWidth="1"/>
    <col min="6668" max="6670" width="10" style="165" customWidth="1"/>
    <col min="6671" max="6671" width="13.625" style="165" bestFit="1" customWidth="1"/>
    <col min="6672" max="6912" width="9" style="165"/>
    <col min="6913" max="6913" width="13.875" style="165" bestFit="1" customWidth="1"/>
    <col min="6914" max="6914" width="9" style="165"/>
    <col min="6915" max="6916" width="11.375" style="165" customWidth="1"/>
    <col min="6917" max="6917" width="11.75" style="165" bestFit="1" customWidth="1"/>
    <col min="6918" max="6921" width="10.875" style="165" bestFit="1" customWidth="1"/>
    <col min="6922" max="6922" width="11.25" style="165" bestFit="1" customWidth="1"/>
    <col min="6923" max="6923" width="10.875" style="165" customWidth="1"/>
    <col min="6924" max="6926" width="10" style="165" customWidth="1"/>
    <col min="6927" max="6927" width="13.625" style="165" bestFit="1" customWidth="1"/>
    <col min="6928" max="7168" width="9" style="165"/>
    <col min="7169" max="7169" width="13.875" style="165" bestFit="1" customWidth="1"/>
    <col min="7170" max="7170" width="9" style="165"/>
    <col min="7171" max="7172" width="11.375" style="165" customWidth="1"/>
    <col min="7173" max="7173" width="11.75" style="165" bestFit="1" customWidth="1"/>
    <col min="7174" max="7177" width="10.875" style="165" bestFit="1" customWidth="1"/>
    <col min="7178" max="7178" width="11.25" style="165" bestFit="1" customWidth="1"/>
    <col min="7179" max="7179" width="10.875" style="165" customWidth="1"/>
    <col min="7180" max="7182" width="10" style="165" customWidth="1"/>
    <col min="7183" max="7183" width="13.625" style="165" bestFit="1" customWidth="1"/>
    <col min="7184" max="7424" width="9" style="165"/>
    <col min="7425" max="7425" width="13.875" style="165" bestFit="1" customWidth="1"/>
    <col min="7426" max="7426" width="9" style="165"/>
    <col min="7427" max="7428" width="11.375" style="165" customWidth="1"/>
    <col min="7429" max="7429" width="11.75" style="165" bestFit="1" customWidth="1"/>
    <col min="7430" max="7433" width="10.875" style="165" bestFit="1" customWidth="1"/>
    <col min="7434" max="7434" width="11.25" style="165" bestFit="1" customWidth="1"/>
    <col min="7435" max="7435" width="10.875" style="165" customWidth="1"/>
    <col min="7436" max="7438" width="10" style="165" customWidth="1"/>
    <col min="7439" max="7439" width="13.625" style="165" bestFit="1" customWidth="1"/>
    <col min="7440" max="7680" width="9" style="165"/>
    <col min="7681" max="7681" width="13.875" style="165" bestFit="1" customWidth="1"/>
    <col min="7682" max="7682" width="9" style="165"/>
    <col min="7683" max="7684" width="11.375" style="165" customWidth="1"/>
    <col min="7685" max="7685" width="11.75" style="165" bestFit="1" customWidth="1"/>
    <col min="7686" max="7689" width="10.875" style="165" bestFit="1" customWidth="1"/>
    <col min="7690" max="7690" width="11.25" style="165" bestFit="1" customWidth="1"/>
    <col min="7691" max="7691" width="10.875" style="165" customWidth="1"/>
    <col min="7692" max="7694" width="10" style="165" customWidth="1"/>
    <col min="7695" max="7695" width="13.625" style="165" bestFit="1" customWidth="1"/>
    <col min="7696" max="7936" width="9" style="165"/>
    <col min="7937" max="7937" width="13.875" style="165" bestFit="1" customWidth="1"/>
    <col min="7938" max="7938" width="9" style="165"/>
    <col min="7939" max="7940" width="11.375" style="165" customWidth="1"/>
    <col min="7941" max="7941" width="11.75" style="165" bestFit="1" customWidth="1"/>
    <col min="7942" max="7945" width="10.875" style="165" bestFit="1" customWidth="1"/>
    <col min="7946" max="7946" width="11.25" style="165" bestFit="1" customWidth="1"/>
    <col min="7947" max="7947" width="10.875" style="165" customWidth="1"/>
    <col min="7948" max="7950" width="10" style="165" customWidth="1"/>
    <col min="7951" max="7951" width="13.625" style="165" bestFit="1" customWidth="1"/>
    <col min="7952" max="8192" width="9" style="165"/>
    <col min="8193" max="8193" width="13.875" style="165" bestFit="1" customWidth="1"/>
    <col min="8194" max="8194" width="9" style="165"/>
    <col min="8195" max="8196" width="11.375" style="165" customWidth="1"/>
    <col min="8197" max="8197" width="11.75" style="165" bestFit="1" customWidth="1"/>
    <col min="8198" max="8201" width="10.875" style="165" bestFit="1" customWidth="1"/>
    <col min="8202" max="8202" width="11.25" style="165" bestFit="1" customWidth="1"/>
    <col min="8203" max="8203" width="10.875" style="165" customWidth="1"/>
    <col min="8204" max="8206" width="10" style="165" customWidth="1"/>
    <col min="8207" max="8207" width="13.625" style="165" bestFit="1" customWidth="1"/>
    <col min="8208" max="8448" width="9" style="165"/>
    <col min="8449" max="8449" width="13.875" style="165" bestFit="1" customWidth="1"/>
    <col min="8450" max="8450" width="9" style="165"/>
    <col min="8451" max="8452" width="11.375" style="165" customWidth="1"/>
    <col min="8453" max="8453" width="11.75" style="165" bestFit="1" customWidth="1"/>
    <col min="8454" max="8457" width="10.875" style="165" bestFit="1" customWidth="1"/>
    <col min="8458" max="8458" width="11.25" style="165" bestFit="1" customWidth="1"/>
    <col min="8459" max="8459" width="10.875" style="165" customWidth="1"/>
    <col min="8460" max="8462" width="10" style="165" customWidth="1"/>
    <col min="8463" max="8463" width="13.625" style="165" bestFit="1" customWidth="1"/>
    <col min="8464" max="8704" width="9" style="165"/>
    <col min="8705" max="8705" width="13.875" style="165" bestFit="1" customWidth="1"/>
    <col min="8706" max="8706" width="9" style="165"/>
    <col min="8707" max="8708" width="11.375" style="165" customWidth="1"/>
    <col min="8709" max="8709" width="11.75" style="165" bestFit="1" customWidth="1"/>
    <col min="8710" max="8713" width="10.875" style="165" bestFit="1" customWidth="1"/>
    <col min="8714" max="8714" width="11.25" style="165" bestFit="1" customWidth="1"/>
    <col min="8715" max="8715" width="10.875" style="165" customWidth="1"/>
    <col min="8716" max="8718" width="10" style="165" customWidth="1"/>
    <col min="8719" max="8719" width="13.625" style="165" bestFit="1" customWidth="1"/>
    <col min="8720" max="8960" width="9" style="165"/>
    <col min="8961" max="8961" width="13.875" style="165" bestFit="1" customWidth="1"/>
    <col min="8962" max="8962" width="9" style="165"/>
    <col min="8963" max="8964" width="11.375" style="165" customWidth="1"/>
    <col min="8965" max="8965" width="11.75" style="165" bestFit="1" customWidth="1"/>
    <col min="8966" max="8969" width="10.875" style="165" bestFit="1" customWidth="1"/>
    <col min="8970" max="8970" width="11.25" style="165" bestFit="1" customWidth="1"/>
    <col min="8971" max="8971" width="10.875" style="165" customWidth="1"/>
    <col min="8972" max="8974" width="10" style="165" customWidth="1"/>
    <col min="8975" max="8975" width="13.625" style="165" bestFit="1" customWidth="1"/>
    <col min="8976" max="9216" width="9" style="165"/>
    <col min="9217" max="9217" width="13.875" style="165" bestFit="1" customWidth="1"/>
    <col min="9218" max="9218" width="9" style="165"/>
    <col min="9219" max="9220" width="11.375" style="165" customWidth="1"/>
    <col min="9221" max="9221" width="11.75" style="165" bestFit="1" customWidth="1"/>
    <col min="9222" max="9225" width="10.875" style="165" bestFit="1" customWidth="1"/>
    <col min="9226" max="9226" width="11.25" style="165" bestFit="1" customWidth="1"/>
    <col min="9227" max="9227" width="10.875" style="165" customWidth="1"/>
    <col min="9228" max="9230" width="10" style="165" customWidth="1"/>
    <col min="9231" max="9231" width="13.625" style="165" bestFit="1" customWidth="1"/>
    <col min="9232" max="9472" width="9" style="165"/>
    <col min="9473" max="9473" width="13.875" style="165" bestFit="1" customWidth="1"/>
    <col min="9474" max="9474" width="9" style="165"/>
    <col min="9475" max="9476" width="11.375" style="165" customWidth="1"/>
    <col min="9477" max="9477" width="11.75" style="165" bestFit="1" customWidth="1"/>
    <col min="9478" max="9481" width="10.875" style="165" bestFit="1" customWidth="1"/>
    <col min="9482" max="9482" width="11.25" style="165" bestFit="1" customWidth="1"/>
    <col min="9483" max="9483" width="10.875" style="165" customWidth="1"/>
    <col min="9484" max="9486" width="10" style="165" customWidth="1"/>
    <col min="9487" max="9487" width="13.625" style="165" bestFit="1" customWidth="1"/>
    <col min="9488" max="9728" width="9" style="165"/>
    <col min="9729" max="9729" width="13.875" style="165" bestFit="1" customWidth="1"/>
    <col min="9730" max="9730" width="9" style="165"/>
    <col min="9731" max="9732" width="11.375" style="165" customWidth="1"/>
    <col min="9733" max="9733" width="11.75" style="165" bestFit="1" customWidth="1"/>
    <col min="9734" max="9737" width="10.875" style="165" bestFit="1" customWidth="1"/>
    <col min="9738" max="9738" width="11.25" style="165" bestFit="1" customWidth="1"/>
    <col min="9739" max="9739" width="10.875" style="165" customWidth="1"/>
    <col min="9740" max="9742" width="10" style="165" customWidth="1"/>
    <col min="9743" max="9743" width="13.625" style="165" bestFit="1" customWidth="1"/>
    <col min="9744" max="9984" width="9" style="165"/>
    <col min="9985" max="9985" width="13.875" style="165" bestFit="1" customWidth="1"/>
    <col min="9986" max="9986" width="9" style="165"/>
    <col min="9987" max="9988" width="11.375" style="165" customWidth="1"/>
    <col min="9989" max="9989" width="11.75" style="165" bestFit="1" customWidth="1"/>
    <col min="9990" max="9993" width="10.875" style="165" bestFit="1" customWidth="1"/>
    <col min="9994" max="9994" width="11.25" style="165" bestFit="1" customWidth="1"/>
    <col min="9995" max="9995" width="10.875" style="165" customWidth="1"/>
    <col min="9996" max="9998" width="10" style="165" customWidth="1"/>
    <col min="9999" max="9999" width="13.625" style="165" bestFit="1" customWidth="1"/>
    <col min="10000" max="10240" width="9" style="165"/>
    <col min="10241" max="10241" width="13.875" style="165" bestFit="1" customWidth="1"/>
    <col min="10242" max="10242" width="9" style="165"/>
    <col min="10243" max="10244" width="11.375" style="165" customWidth="1"/>
    <col min="10245" max="10245" width="11.75" style="165" bestFit="1" customWidth="1"/>
    <col min="10246" max="10249" width="10.875" style="165" bestFit="1" customWidth="1"/>
    <col min="10250" max="10250" width="11.25" style="165" bestFit="1" customWidth="1"/>
    <col min="10251" max="10251" width="10.875" style="165" customWidth="1"/>
    <col min="10252" max="10254" width="10" style="165" customWidth="1"/>
    <col min="10255" max="10255" width="13.625" style="165" bestFit="1" customWidth="1"/>
    <col min="10256" max="10496" width="9" style="165"/>
    <col min="10497" max="10497" width="13.875" style="165" bestFit="1" customWidth="1"/>
    <col min="10498" max="10498" width="9" style="165"/>
    <col min="10499" max="10500" width="11.375" style="165" customWidth="1"/>
    <col min="10501" max="10501" width="11.75" style="165" bestFit="1" customWidth="1"/>
    <col min="10502" max="10505" width="10.875" style="165" bestFit="1" customWidth="1"/>
    <col min="10506" max="10506" width="11.25" style="165" bestFit="1" customWidth="1"/>
    <col min="10507" max="10507" width="10.875" style="165" customWidth="1"/>
    <col min="10508" max="10510" width="10" style="165" customWidth="1"/>
    <col min="10511" max="10511" width="13.625" style="165" bestFit="1" customWidth="1"/>
    <col min="10512" max="10752" width="9" style="165"/>
    <col min="10753" max="10753" width="13.875" style="165" bestFit="1" customWidth="1"/>
    <col min="10754" max="10754" width="9" style="165"/>
    <col min="10755" max="10756" width="11.375" style="165" customWidth="1"/>
    <col min="10757" max="10757" width="11.75" style="165" bestFit="1" customWidth="1"/>
    <col min="10758" max="10761" width="10.875" style="165" bestFit="1" customWidth="1"/>
    <col min="10762" max="10762" width="11.25" style="165" bestFit="1" customWidth="1"/>
    <col min="10763" max="10763" width="10.875" style="165" customWidth="1"/>
    <col min="10764" max="10766" width="10" style="165" customWidth="1"/>
    <col min="10767" max="10767" width="13.625" style="165" bestFit="1" customWidth="1"/>
    <col min="10768" max="11008" width="9" style="165"/>
    <col min="11009" max="11009" width="13.875" style="165" bestFit="1" customWidth="1"/>
    <col min="11010" max="11010" width="9" style="165"/>
    <col min="11011" max="11012" width="11.375" style="165" customWidth="1"/>
    <col min="11013" max="11013" width="11.75" style="165" bestFit="1" customWidth="1"/>
    <col min="11014" max="11017" width="10.875" style="165" bestFit="1" customWidth="1"/>
    <col min="11018" max="11018" width="11.25" style="165" bestFit="1" customWidth="1"/>
    <col min="11019" max="11019" width="10.875" style="165" customWidth="1"/>
    <col min="11020" max="11022" width="10" style="165" customWidth="1"/>
    <col min="11023" max="11023" width="13.625" style="165" bestFit="1" customWidth="1"/>
    <col min="11024" max="11264" width="9" style="165"/>
    <col min="11265" max="11265" width="13.875" style="165" bestFit="1" customWidth="1"/>
    <col min="11266" max="11266" width="9" style="165"/>
    <col min="11267" max="11268" width="11.375" style="165" customWidth="1"/>
    <col min="11269" max="11269" width="11.75" style="165" bestFit="1" customWidth="1"/>
    <col min="11270" max="11273" width="10.875" style="165" bestFit="1" customWidth="1"/>
    <col min="11274" max="11274" width="11.25" style="165" bestFit="1" customWidth="1"/>
    <col min="11275" max="11275" width="10.875" style="165" customWidth="1"/>
    <col min="11276" max="11278" width="10" style="165" customWidth="1"/>
    <col min="11279" max="11279" width="13.625" style="165" bestFit="1" customWidth="1"/>
    <col min="11280" max="11520" width="9" style="165"/>
    <col min="11521" max="11521" width="13.875" style="165" bestFit="1" customWidth="1"/>
    <col min="11522" max="11522" width="9" style="165"/>
    <col min="11523" max="11524" width="11.375" style="165" customWidth="1"/>
    <col min="11525" max="11525" width="11.75" style="165" bestFit="1" customWidth="1"/>
    <col min="11526" max="11529" width="10.875" style="165" bestFit="1" customWidth="1"/>
    <col min="11530" max="11530" width="11.25" style="165" bestFit="1" customWidth="1"/>
    <col min="11531" max="11531" width="10.875" style="165" customWidth="1"/>
    <col min="11532" max="11534" width="10" style="165" customWidth="1"/>
    <col min="11535" max="11535" width="13.625" style="165" bestFit="1" customWidth="1"/>
    <col min="11536" max="11776" width="9" style="165"/>
    <col min="11777" max="11777" width="13.875" style="165" bestFit="1" customWidth="1"/>
    <col min="11778" max="11778" width="9" style="165"/>
    <col min="11779" max="11780" width="11.375" style="165" customWidth="1"/>
    <col min="11781" max="11781" width="11.75" style="165" bestFit="1" customWidth="1"/>
    <col min="11782" max="11785" width="10.875" style="165" bestFit="1" customWidth="1"/>
    <col min="11786" max="11786" width="11.25" style="165" bestFit="1" customWidth="1"/>
    <col min="11787" max="11787" width="10.875" style="165" customWidth="1"/>
    <col min="11788" max="11790" width="10" style="165" customWidth="1"/>
    <col min="11791" max="11791" width="13.625" style="165" bestFit="1" customWidth="1"/>
    <col min="11792" max="12032" width="9" style="165"/>
    <col min="12033" max="12033" width="13.875" style="165" bestFit="1" customWidth="1"/>
    <col min="12034" max="12034" width="9" style="165"/>
    <col min="12035" max="12036" width="11.375" style="165" customWidth="1"/>
    <col min="12037" max="12037" width="11.75" style="165" bestFit="1" customWidth="1"/>
    <col min="12038" max="12041" width="10.875" style="165" bestFit="1" customWidth="1"/>
    <col min="12042" max="12042" width="11.25" style="165" bestFit="1" customWidth="1"/>
    <col min="12043" max="12043" width="10.875" style="165" customWidth="1"/>
    <col min="12044" max="12046" width="10" style="165" customWidth="1"/>
    <col min="12047" max="12047" width="13.625" style="165" bestFit="1" customWidth="1"/>
    <col min="12048" max="12288" width="9" style="165"/>
    <col min="12289" max="12289" width="13.875" style="165" bestFit="1" customWidth="1"/>
    <col min="12290" max="12290" width="9" style="165"/>
    <col min="12291" max="12292" width="11.375" style="165" customWidth="1"/>
    <col min="12293" max="12293" width="11.75" style="165" bestFit="1" customWidth="1"/>
    <col min="12294" max="12297" width="10.875" style="165" bestFit="1" customWidth="1"/>
    <col min="12298" max="12298" width="11.25" style="165" bestFit="1" customWidth="1"/>
    <col min="12299" max="12299" width="10.875" style="165" customWidth="1"/>
    <col min="12300" max="12302" width="10" style="165" customWidth="1"/>
    <col min="12303" max="12303" width="13.625" style="165" bestFit="1" customWidth="1"/>
    <col min="12304" max="12544" width="9" style="165"/>
    <col min="12545" max="12545" width="13.875" style="165" bestFit="1" customWidth="1"/>
    <col min="12546" max="12546" width="9" style="165"/>
    <col min="12547" max="12548" width="11.375" style="165" customWidth="1"/>
    <col min="12549" max="12549" width="11.75" style="165" bestFit="1" customWidth="1"/>
    <col min="12550" max="12553" width="10.875" style="165" bestFit="1" customWidth="1"/>
    <col min="12554" max="12554" width="11.25" style="165" bestFit="1" customWidth="1"/>
    <col min="12555" max="12555" width="10.875" style="165" customWidth="1"/>
    <col min="12556" max="12558" width="10" style="165" customWidth="1"/>
    <col min="12559" max="12559" width="13.625" style="165" bestFit="1" customWidth="1"/>
    <col min="12560" max="12800" width="9" style="165"/>
    <col min="12801" max="12801" width="13.875" style="165" bestFit="1" customWidth="1"/>
    <col min="12802" max="12802" width="9" style="165"/>
    <col min="12803" max="12804" width="11.375" style="165" customWidth="1"/>
    <col min="12805" max="12805" width="11.75" style="165" bestFit="1" customWidth="1"/>
    <col min="12806" max="12809" width="10.875" style="165" bestFit="1" customWidth="1"/>
    <col min="12810" max="12810" width="11.25" style="165" bestFit="1" customWidth="1"/>
    <col min="12811" max="12811" width="10.875" style="165" customWidth="1"/>
    <col min="12812" max="12814" width="10" style="165" customWidth="1"/>
    <col min="12815" max="12815" width="13.625" style="165" bestFit="1" customWidth="1"/>
    <col min="12816" max="13056" width="9" style="165"/>
    <col min="13057" max="13057" width="13.875" style="165" bestFit="1" customWidth="1"/>
    <col min="13058" max="13058" width="9" style="165"/>
    <col min="13059" max="13060" width="11.375" style="165" customWidth="1"/>
    <col min="13061" max="13061" width="11.75" style="165" bestFit="1" customWidth="1"/>
    <col min="13062" max="13065" width="10.875" style="165" bestFit="1" customWidth="1"/>
    <col min="13066" max="13066" width="11.25" style="165" bestFit="1" customWidth="1"/>
    <col min="13067" max="13067" width="10.875" style="165" customWidth="1"/>
    <col min="13068" max="13070" width="10" style="165" customWidth="1"/>
    <col min="13071" max="13071" width="13.625" style="165" bestFit="1" customWidth="1"/>
    <col min="13072" max="13312" width="9" style="165"/>
    <col min="13313" max="13313" width="13.875" style="165" bestFit="1" customWidth="1"/>
    <col min="13314" max="13314" width="9" style="165"/>
    <col min="13315" max="13316" width="11.375" style="165" customWidth="1"/>
    <col min="13317" max="13317" width="11.75" style="165" bestFit="1" customWidth="1"/>
    <col min="13318" max="13321" width="10.875" style="165" bestFit="1" customWidth="1"/>
    <col min="13322" max="13322" width="11.25" style="165" bestFit="1" customWidth="1"/>
    <col min="13323" max="13323" width="10.875" style="165" customWidth="1"/>
    <col min="13324" max="13326" width="10" style="165" customWidth="1"/>
    <col min="13327" max="13327" width="13.625" style="165" bestFit="1" customWidth="1"/>
    <col min="13328" max="13568" width="9" style="165"/>
    <col min="13569" max="13569" width="13.875" style="165" bestFit="1" customWidth="1"/>
    <col min="13570" max="13570" width="9" style="165"/>
    <col min="13571" max="13572" width="11.375" style="165" customWidth="1"/>
    <col min="13573" max="13573" width="11.75" style="165" bestFit="1" customWidth="1"/>
    <col min="13574" max="13577" width="10.875" style="165" bestFit="1" customWidth="1"/>
    <col min="13578" max="13578" width="11.25" style="165" bestFit="1" customWidth="1"/>
    <col min="13579" max="13579" width="10.875" style="165" customWidth="1"/>
    <col min="13580" max="13582" width="10" style="165" customWidth="1"/>
    <col min="13583" max="13583" width="13.625" style="165" bestFit="1" customWidth="1"/>
    <col min="13584" max="13824" width="9" style="165"/>
    <col min="13825" max="13825" width="13.875" style="165" bestFit="1" customWidth="1"/>
    <col min="13826" max="13826" width="9" style="165"/>
    <col min="13827" max="13828" width="11.375" style="165" customWidth="1"/>
    <col min="13829" max="13829" width="11.75" style="165" bestFit="1" customWidth="1"/>
    <col min="13830" max="13833" width="10.875" style="165" bestFit="1" customWidth="1"/>
    <col min="13834" max="13834" width="11.25" style="165" bestFit="1" customWidth="1"/>
    <col min="13835" max="13835" width="10.875" style="165" customWidth="1"/>
    <col min="13836" max="13838" width="10" style="165" customWidth="1"/>
    <col min="13839" max="13839" width="13.625" style="165" bestFit="1" customWidth="1"/>
    <col min="13840" max="14080" width="9" style="165"/>
    <col min="14081" max="14081" width="13.875" style="165" bestFit="1" customWidth="1"/>
    <col min="14082" max="14082" width="9" style="165"/>
    <col min="14083" max="14084" width="11.375" style="165" customWidth="1"/>
    <col min="14085" max="14085" width="11.75" style="165" bestFit="1" customWidth="1"/>
    <col min="14086" max="14089" width="10.875" style="165" bestFit="1" customWidth="1"/>
    <col min="14090" max="14090" width="11.25" style="165" bestFit="1" customWidth="1"/>
    <col min="14091" max="14091" width="10.875" style="165" customWidth="1"/>
    <col min="14092" max="14094" width="10" style="165" customWidth="1"/>
    <col min="14095" max="14095" width="13.625" style="165" bestFit="1" customWidth="1"/>
    <col min="14096" max="14336" width="9" style="165"/>
    <col min="14337" max="14337" width="13.875" style="165" bestFit="1" customWidth="1"/>
    <col min="14338" max="14338" width="9" style="165"/>
    <col min="14339" max="14340" width="11.375" style="165" customWidth="1"/>
    <col min="14341" max="14341" width="11.75" style="165" bestFit="1" customWidth="1"/>
    <col min="14342" max="14345" width="10.875" style="165" bestFit="1" customWidth="1"/>
    <col min="14346" max="14346" width="11.25" style="165" bestFit="1" customWidth="1"/>
    <col min="14347" max="14347" width="10.875" style="165" customWidth="1"/>
    <col min="14348" max="14350" width="10" style="165" customWidth="1"/>
    <col min="14351" max="14351" width="13.625" style="165" bestFit="1" customWidth="1"/>
    <col min="14352" max="14592" width="9" style="165"/>
    <col min="14593" max="14593" width="13.875" style="165" bestFit="1" customWidth="1"/>
    <col min="14594" max="14594" width="9" style="165"/>
    <col min="14595" max="14596" width="11.375" style="165" customWidth="1"/>
    <col min="14597" max="14597" width="11.75" style="165" bestFit="1" customWidth="1"/>
    <col min="14598" max="14601" width="10.875" style="165" bestFit="1" customWidth="1"/>
    <col min="14602" max="14602" width="11.25" style="165" bestFit="1" customWidth="1"/>
    <col min="14603" max="14603" width="10.875" style="165" customWidth="1"/>
    <col min="14604" max="14606" width="10" style="165" customWidth="1"/>
    <col min="14607" max="14607" width="13.625" style="165" bestFit="1" customWidth="1"/>
    <col min="14608" max="14848" width="9" style="165"/>
    <col min="14849" max="14849" width="13.875" style="165" bestFit="1" customWidth="1"/>
    <col min="14850" max="14850" width="9" style="165"/>
    <col min="14851" max="14852" width="11.375" style="165" customWidth="1"/>
    <col min="14853" max="14853" width="11.75" style="165" bestFit="1" customWidth="1"/>
    <col min="14854" max="14857" width="10.875" style="165" bestFit="1" customWidth="1"/>
    <col min="14858" max="14858" width="11.25" style="165" bestFit="1" customWidth="1"/>
    <col min="14859" max="14859" width="10.875" style="165" customWidth="1"/>
    <col min="14860" max="14862" width="10" style="165" customWidth="1"/>
    <col min="14863" max="14863" width="13.625" style="165" bestFit="1" customWidth="1"/>
    <col min="14864" max="15104" width="9" style="165"/>
    <col min="15105" max="15105" width="13.875" style="165" bestFit="1" customWidth="1"/>
    <col min="15106" max="15106" width="9" style="165"/>
    <col min="15107" max="15108" width="11.375" style="165" customWidth="1"/>
    <col min="15109" max="15109" width="11.75" style="165" bestFit="1" customWidth="1"/>
    <col min="15110" max="15113" width="10.875" style="165" bestFit="1" customWidth="1"/>
    <col min="15114" max="15114" width="11.25" style="165" bestFit="1" customWidth="1"/>
    <col min="15115" max="15115" width="10.875" style="165" customWidth="1"/>
    <col min="15116" max="15118" width="10" style="165" customWidth="1"/>
    <col min="15119" max="15119" width="13.625" style="165" bestFit="1" customWidth="1"/>
    <col min="15120" max="15360" width="9" style="165"/>
    <col min="15361" max="15361" width="13.875" style="165" bestFit="1" customWidth="1"/>
    <col min="15362" max="15362" width="9" style="165"/>
    <col min="15363" max="15364" width="11.375" style="165" customWidth="1"/>
    <col min="15365" max="15365" width="11.75" style="165" bestFit="1" customWidth="1"/>
    <col min="15366" max="15369" width="10.875" style="165" bestFit="1" customWidth="1"/>
    <col min="15370" max="15370" width="11.25" style="165" bestFit="1" customWidth="1"/>
    <col min="15371" max="15371" width="10.875" style="165" customWidth="1"/>
    <col min="15372" max="15374" width="10" style="165" customWidth="1"/>
    <col min="15375" max="15375" width="13.625" style="165" bestFit="1" customWidth="1"/>
    <col min="15376" max="15616" width="9" style="165"/>
    <col min="15617" max="15617" width="13.875" style="165" bestFit="1" customWidth="1"/>
    <col min="15618" max="15618" width="9" style="165"/>
    <col min="15619" max="15620" width="11.375" style="165" customWidth="1"/>
    <col min="15621" max="15621" width="11.75" style="165" bestFit="1" customWidth="1"/>
    <col min="15622" max="15625" width="10.875" style="165" bestFit="1" customWidth="1"/>
    <col min="15626" max="15626" width="11.25" style="165" bestFit="1" customWidth="1"/>
    <col min="15627" max="15627" width="10.875" style="165" customWidth="1"/>
    <col min="15628" max="15630" width="10" style="165" customWidth="1"/>
    <col min="15631" max="15631" width="13.625" style="165" bestFit="1" customWidth="1"/>
    <col min="15632" max="15872" width="9" style="165"/>
    <col min="15873" max="15873" width="13.875" style="165" bestFit="1" customWidth="1"/>
    <col min="15874" max="15874" width="9" style="165"/>
    <col min="15875" max="15876" width="11.375" style="165" customWidth="1"/>
    <col min="15877" max="15877" width="11.75" style="165" bestFit="1" customWidth="1"/>
    <col min="15878" max="15881" width="10.875" style="165" bestFit="1" customWidth="1"/>
    <col min="15882" max="15882" width="11.25" style="165" bestFit="1" customWidth="1"/>
    <col min="15883" max="15883" width="10.875" style="165" customWidth="1"/>
    <col min="15884" max="15886" width="10" style="165" customWidth="1"/>
    <col min="15887" max="15887" width="13.625" style="165" bestFit="1" customWidth="1"/>
    <col min="15888" max="16128" width="9" style="165"/>
    <col min="16129" max="16129" width="13.875" style="165" bestFit="1" customWidth="1"/>
    <col min="16130" max="16130" width="9" style="165"/>
    <col min="16131" max="16132" width="11.375" style="165" customWidth="1"/>
    <col min="16133" max="16133" width="11.75" style="165" bestFit="1" customWidth="1"/>
    <col min="16134" max="16137" width="10.875" style="165" bestFit="1" customWidth="1"/>
    <col min="16138" max="16138" width="11.25" style="165" bestFit="1" customWidth="1"/>
    <col min="16139" max="16139" width="10.875" style="165" customWidth="1"/>
    <col min="16140" max="16142" width="10" style="165" customWidth="1"/>
    <col min="16143" max="16143" width="13.625" style="165" bestFit="1" customWidth="1"/>
    <col min="16144" max="16384" width="9" style="165"/>
  </cols>
  <sheetData>
    <row r="1" spans="1:15" ht="26.25" customHeight="1" x14ac:dyDescent="0.2">
      <c r="A1" s="245" t="s">
        <v>180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</row>
    <row r="2" spans="1:15" ht="11.25" customHeight="1" thickBo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1:15" ht="16.5" customHeight="1" thickBot="1" x14ac:dyDescent="0.2">
      <c r="A3" s="173" t="s">
        <v>143</v>
      </c>
      <c r="B3" s="174"/>
      <c r="C3" s="175" t="s">
        <v>144</v>
      </c>
      <c r="D3" s="175" t="s">
        <v>145</v>
      </c>
      <c r="E3" s="175" t="s">
        <v>146</v>
      </c>
      <c r="F3" s="175" t="s">
        <v>147</v>
      </c>
      <c r="G3" s="175" t="s">
        <v>148</v>
      </c>
      <c r="H3" s="176" t="s">
        <v>162</v>
      </c>
      <c r="I3" s="175" t="s">
        <v>163</v>
      </c>
      <c r="J3" s="175" t="s">
        <v>149</v>
      </c>
      <c r="K3" s="175" t="s">
        <v>150</v>
      </c>
      <c r="L3" s="175" t="s">
        <v>151</v>
      </c>
      <c r="M3" s="175" t="s">
        <v>152</v>
      </c>
      <c r="N3" s="175" t="s">
        <v>153</v>
      </c>
      <c r="O3" s="175" t="s">
        <v>154</v>
      </c>
    </row>
    <row r="4" spans="1:15" ht="16.5" customHeight="1" x14ac:dyDescent="0.15">
      <c r="A4" s="251"/>
      <c r="B4" s="164" t="s">
        <v>21</v>
      </c>
      <c r="C4" s="102">
        <v>2828160</v>
      </c>
      <c r="D4" s="102">
        <v>2995390</v>
      </c>
      <c r="E4" s="102">
        <v>3870020</v>
      </c>
      <c r="F4" s="102">
        <v>1469300</v>
      </c>
      <c r="G4" s="102">
        <v>1439600</v>
      </c>
      <c r="H4" s="102"/>
      <c r="I4" s="102"/>
      <c r="J4" s="102"/>
      <c r="K4" s="102"/>
      <c r="L4" s="102"/>
      <c r="M4" s="102"/>
      <c r="N4" s="102"/>
      <c r="O4" s="103">
        <f>SUM(C4:N4)</f>
        <v>12602470</v>
      </c>
    </row>
    <row r="5" spans="1:15" ht="16.5" customHeight="1" x14ac:dyDescent="0.15">
      <c r="A5" s="263"/>
      <c r="B5" s="166" t="s">
        <v>155</v>
      </c>
      <c r="C5" s="105">
        <v>2400615</v>
      </c>
      <c r="D5" s="105">
        <v>2636975</v>
      </c>
      <c r="E5" s="105">
        <v>3222343</v>
      </c>
      <c r="F5" s="105">
        <v>1306948</v>
      </c>
      <c r="G5" s="105">
        <v>1060660</v>
      </c>
      <c r="H5" s="105"/>
      <c r="I5" s="105"/>
      <c r="J5" s="105"/>
      <c r="K5" s="105"/>
      <c r="L5" s="105"/>
      <c r="M5" s="105"/>
      <c r="N5" s="105"/>
      <c r="O5" s="105">
        <f t="shared" ref="O5:O15" si="0">SUM(C5:N5)</f>
        <v>10627541</v>
      </c>
    </row>
    <row r="6" spans="1:15" ht="16.5" customHeight="1" x14ac:dyDescent="0.15">
      <c r="A6" s="263"/>
      <c r="B6" s="166" t="s">
        <v>156</v>
      </c>
      <c r="C6" s="105">
        <v>0</v>
      </c>
      <c r="D6" s="105">
        <v>0</v>
      </c>
      <c r="E6" s="105">
        <v>0</v>
      </c>
      <c r="F6" s="105">
        <v>0</v>
      </c>
      <c r="G6" s="105">
        <v>0</v>
      </c>
      <c r="H6" s="105"/>
      <c r="I6" s="105"/>
      <c r="J6" s="105"/>
      <c r="K6" s="105"/>
      <c r="L6" s="105"/>
      <c r="M6" s="105"/>
      <c r="N6" s="105"/>
      <c r="O6" s="105">
        <f t="shared" si="0"/>
        <v>0</v>
      </c>
    </row>
    <row r="7" spans="1:15" ht="16.5" customHeight="1" x14ac:dyDescent="0.15">
      <c r="A7" s="263"/>
      <c r="B7" s="166" t="s">
        <v>26</v>
      </c>
      <c r="C7" s="105">
        <v>146770</v>
      </c>
      <c r="D7" s="105">
        <v>120400</v>
      </c>
      <c r="E7" s="105">
        <v>102720</v>
      </c>
      <c r="F7" s="105">
        <v>18310</v>
      </c>
      <c r="G7" s="105">
        <v>18310</v>
      </c>
      <c r="H7" s="105"/>
      <c r="I7" s="105"/>
      <c r="J7" s="105"/>
      <c r="K7" s="105"/>
      <c r="L7" s="105"/>
      <c r="M7" s="105"/>
      <c r="N7" s="105"/>
      <c r="O7" s="105">
        <f t="shared" si="0"/>
        <v>406510</v>
      </c>
    </row>
    <row r="8" spans="1:15" ht="16.5" customHeight="1" x14ac:dyDescent="0.15">
      <c r="A8" s="263"/>
      <c r="B8" s="166" t="s">
        <v>66</v>
      </c>
      <c r="C8" s="106">
        <v>152998</v>
      </c>
      <c r="D8" s="105">
        <v>140538</v>
      </c>
      <c r="E8" s="105">
        <v>141173</v>
      </c>
      <c r="F8" s="105">
        <v>88174</v>
      </c>
      <c r="G8" s="105">
        <v>87859</v>
      </c>
      <c r="H8" s="105"/>
      <c r="I8" s="106"/>
      <c r="J8" s="106"/>
      <c r="K8" s="106"/>
      <c r="L8" s="106"/>
      <c r="M8" s="106"/>
      <c r="N8" s="106"/>
      <c r="O8" s="105">
        <f t="shared" si="0"/>
        <v>610742</v>
      </c>
    </row>
    <row r="9" spans="1:15" ht="16.5" customHeight="1" x14ac:dyDescent="0.15">
      <c r="A9" s="263"/>
      <c r="B9" s="166" t="s">
        <v>22</v>
      </c>
      <c r="C9" s="105">
        <v>134804</v>
      </c>
      <c r="D9" s="105">
        <v>123738</v>
      </c>
      <c r="E9" s="105">
        <v>144864</v>
      </c>
      <c r="F9" s="105">
        <v>49294</v>
      </c>
      <c r="G9" s="105">
        <v>41850</v>
      </c>
      <c r="H9" s="105"/>
      <c r="I9" s="105"/>
      <c r="J9" s="105"/>
      <c r="K9" s="105"/>
      <c r="L9" s="105"/>
      <c r="M9" s="105"/>
      <c r="N9" s="105"/>
      <c r="O9" s="105">
        <f t="shared" si="0"/>
        <v>494550</v>
      </c>
    </row>
    <row r="10" spans="1:15" ht="16.5" customHeight="1" x14ac:dyDescent="0.15">
      <c r="A10" s="263"/>
      <c r="B10" s="166" t="s">
        <v>67</v>
      </c>
      <c r="C10" s="105">
        <v>11157</v>
      </c>
      <c r="D10" s="105">
        <v>11157</v>
      </c>
      <c r="E10" s="105">
        <v>16116</v>
      </c>
      <c r="F10" s="105">
        <v>7593</v>
      </c>
      <c r="G10" s="105">
        <v>6446</v>
      </c>
      <c r="H10" s="105"/>
      <c r="I10" s="105"/>
      <c r="J10" s="105"/>
      <c r="K10" s="105"/>
      <c r="L10" s="105"/>
      <c r="M10" s="105"/>
      <c r="N10" s="105"/>
      <c r="O10" s="105">
        <f t="shared" si="0"/>
        <v>52469</v>
      </c>
    </row>
    <row r="11" spans="1:15" ht="16.5" customHeight="1" x14ac:dyDescent="0.15">
      <c r="A11" s="263"/>
      <c r="B11" s="166" t="s">
        <v>23</v>
      </c>
      <c r="C11" s="105">
        <v>224666</v>
      </c>
      <c r="D11" s="105">
        <v>206223</v>
      </c>
      <c r="E11" s="105">
        <v>241432</v>
      </c>
      <c r="F11" s="105">
        <v>82154</v>
      </c>
      <c r="G11" s="105">
        <v>69748</v>
      </c>
      <c r="H11" s="105"/>
      <c r="I11" s="105"/>
      <c r="J11" s="105"/>
      <c r="K11" s="105"/>
      <c r="L11" s="105"/>
      <c r="M11" s="105"/>
      <c r="N11" s="105"/>
      <c r="O11" s="105">
        <f t="shared" si="0"/>
        <v>824223</v>
      </c>
    </row>
    <row r="12" spans="1:15" ht="16.5" customHeight="1" x14ac:dyDescent="0.15">
      <c r="A12" s="263"/>
      <c r="B12" s="166" t="s">
        <v>157</v>
      </c>
      <c r="C12" s="105">
        <v>21381</v>
      </c>
      <c r="D12" s="105">
        <v>24258</v>
      </c>
      <c r="E12" s="105">
        <v>28369</v>
      </c>
      <c r="F12" s="105">
        <v>11425</v>
      </c>
      <c r="G12" s="105">
        <v>8890</v>
      </c>
      <c r="H12" s="105"/>
      <c r="I12" s="105"/>
      <c r="J12" s="105"/>
      <c r="K12" s="105"/>
      <c r="L12" s="105"/>
      <c r="M12" s="105"/>
      <c r="N12" s="105"/>
      <c r="O12" s="105">
        <f t="shared" si="0"/>
        <v>94323</v>
      </c>
    </row>
    <row r="13" spans="1:15" ht="16.5" customHeight="1" x14ac:dyDescent="0.15">
      <c r="A13" s="263"/>
      <c r="B13" s="166" t="s">
        <v>158</v>
      </c>
      <c r="C13" s="105">
        <v>2700383</v>
      </c>
      <c r="D13" s="105">
        <v>2897913</v>
      </c>
      <c r="E13" s="105">
        <v>3466236</v>
      </c>
      <c r="F13" s="105">
        <v>1413432</v>
      </c>
      <c r="G13" s="105">
        <v>1166829</v>
      </c>
      <c r="H13" s="105"/>
      <c r="I13" s="105"/>
      <c r="J13" s="105"/>
      <c r="K13" s="105"/>
      <c r="L13" s="105"/>
      <c r="M13" s="105"/>
      <c r="N13" s="105"/>
      <c r="O13" s="105">
        <f t="shared" si="0"/>
        <v>11644793</v>
      </c>
    </row>
    <row r="14" spans="1:15" ht="16.5" customHeight="1" x14ac:dyDescent="0.15">
      <c r="A14" s="263"/>
      <c r="B14" s="171"/>
      <c r="C14" s="107"/>
      <c r="D14" s="107">
        <v>20</v>
      </c>
      <c r="E14" s="107">
        <v>22</v>
      </c>
      <c r="F14" s="107">
        <v>9</v>
      </c>
      <c r="G14" s="107">
        <v>8</v>
      </c>
      <c r="H14" s="107"/>
      <c r="I14" s="107"/>
      <c r="J14" s="107"/>
      <c r="K14" s="107"/>
      <c r="L14" s="107"/>
      <c r="M14" s="107"/>
      <c r="N14" s="107"/>
      <c r="O14" s="107"/>
    </row>
    <row r="15" spans="1:15" ht="16.5" customHeight="1" thickBot="1" x14ac:dyDescent="0.2">
      <c r="A15" s="263"/>
      <c r="B15" s="171" t="s">
        <v>161</v>
      </c>
      <c r="C15" s="107">
        <v>18</v>
      </c>
      <c r="D15" s="107">
        <v>14</v>
      </c>
      <c r="E15" s="107">
        <v>19</v>
      </c>
      <c r="F15" s="107">
        <v>0</v>
      </c>
      <c r="G15" s="107">
        <v>0</v>
      </c>
      <c r="H15" s="107"/>
      <c r="I15" s="107"/>
      <c r="J15" s="107"/>
      <c r="K15" s="107"/>
      <c r="L15" s="107"/>
      <c r="M15" s="107"/>
      <c r="N15" s="107"/>
      <c r="O15" s="168">
        <f t="shared" si="0"/>
        <v>51</v>
      </c>
    </row>
    <row r="16" spans="1:15" ht="16.5" customHeight="1" thickTop="1" x14ac:dyDescent="0.15">
      <c r="A16" s="263"/>
      <c r="B16" s="169" t="s">
        <v>159</v>
      </c>
      <c r="C16" s="110">
        <f>IF(C4="","",C4-SUM(C5:C12))</f>
        <v>-264231</v>
      </c>
      <c r="D16" s="110">
        <v>-267899</v>
      </c>
      <c r="E16" s="110">
        <v>-26997</v>
      </c>
      <c r="F16" s="110">
        <v>-94598</v>
      </c>
      <c r="G16" s="110">
        <v>145837</v>
      </c>
      <c r="H16" s="110" t="str">
        <f t="shared" ref="H16:M16" si="1">IF(H4="","",H4-SUM(H5:H12))</f>
        <v/>
      </c>
      <c r="I16" s="110" t="str">
        <f t="shared" si="1"/>
        <v/>
      </c>
      <c r="J16" s="110" t="str">
        <f t="shared" si="1"/>
        <v/>
      </c>
      <c r="K16" s="110" t="str">
        <f t="shared" si="1"/>
        <v/>
      </c>
      <c r="L16" s="110" t="str">
        <f t="shared" si="1"/>
        <v/>
      </c>
      <c r="M16" s="110" t="str">
        <f t="shared" si="1"/>
        <v/>
      </c>
      <c r="N16" s="110" t="str">
        <f>IF(N4="","",N4-SUM(N5:N12))</f>
        <v/>
      </c>
      <c r="O16" s="110">
        <f>IF(O4="","",O4-SUM(O5:O12))</f>
        <v>-507888</v>
      </c>
    </row>
    <row r="17" spans="1:15" ht="16.5" customHeight="1" thickBot="1" x14ac:dyDescent="0.2">
      <c r="A17" s="264"/>
      <c r="B17" s="170" t="s">
        <v>160</v>
      </c>
      <c r="C17" s="112">
        <f>IF(C4="","",IF(C4=0,"―     ",C16/C4))</f>
        <v>-9.3428589613034629E-2</v>
      </c>
      <c r="D17" s="112">
        <v>-8.9437101679580952E-2</v>
      </c>
      <c r="E17" s="112">
        <v>-6.975932940915034E-3</v>
      </c>
      <c r="F17" s="112">
        <v>-6.4383039542639353E-2</v>
      </c>
      <c r="G17" s="112">
        <v>0.10130383439844401</v>
      </c>
      <c r="H17" s="112" t="str">
        <f t="shared" ref="H17:N17" si="2">IF(H4="","",IF(H4=0,"―     ",H16/H4))</f>
        <v/>
      </c>
      <c r="I17" s="112" t="str">
        <f t="shared" si="2"/>
        <v/>
      </c>
      <c r="J17" s="112" t="str">
        <f t="shared" si="2"/>
        <v/>
      </c>
      <c r="K17" s="112" t="str">
        <f t="shared" si="2"/>
        <v/>
      </c>
      <c r="L17" s="112" t="str">
        <f t="shared" si="2"/>
        <v/>
      </c>
      <c r="M17" s="112" t="str">
        <f t="shared" si="2"/>
        <v/>
      </c>
      <c r="N17" s="112" t="str">
        <f t="shared" si="2"/>
        <v/>
      </c>
      <c r="O17" s="112">
        <f>IF(O4="","",IF(O4=0,"―     ",O16/O4))</f>
        <v>-4.0300671217626385E-2</v>
      </c>
    </row>
    <row r="18" spans="1:15" ht="16.5" customHeight="1" x14ac:dyDescent="0.15">
      <c r="A18" s="251"/>
      <c r="B18" s="164" t="s">
        <v>21</v>
      </c>
      <c r="C18" s="102"/>
      <c r="D18" s="102"/>
      <c r="E18" s="102"/>
      <c r="F18" s="102">
        <v>2528860</v>
      </c>
      <c r="G18" s="102">
        <v>2585720</v>
      </c>
      <c r="H18" s="102"/>
      <c r="I18" s="102"/>
      <c r="J18" s="102"/>
      <c r="K18" s="102"/>
      <c r="L18" s="102"/>
      <c r="M18" s="102"/>
      <c r="N18" s="102"/>
      <c r="O18" s="103">
        <f>SUM(C18:N18)</f>
        <v>5114580</v>
      </c>
    </row>
    <row r="19" spans="1:15" ht="16.5" customHeight="1" x14ac:dyDescent="0.15">
      <c r="A19" s="263"/>
      <c r="B19" s="166" t="s">
        <v>155</v>
      </c>
      <c r="C19" s="105"/>
      <c r="D19" s="105"/>
      <c r="E19" s="105"/>
      <c r="F19" s="105">
        <v>1826000</v>
      </c>
      <c r="G19" s="105">
        <v>1964883</v>
      </c>
      <c r="H19" s="105"/>
      <c r="I19" s="105"/>
      <c r="J19" s="105"/>
      <c r="K19" s="105"/>
      <c r="L19" s="105"/>
      <c r="M19" s="105"/>
      <c r="N19" s="105"/>
      <c r="O19" s="105">
        <f t="shared" ref="O19:O27" si="3">SUM(C19:N19)</f>
        <v>3790883</v>
      </c>
    </row>
    <row r="20" spans="1:15" ht="16.5" customHeight="1" x14ac:dyDescent="0.15">
      <c r="A20" s="263"/>
      <c r="B20" s="166" t="s">
        <v>156</v>
      </c>
      <c r="C20" s="105"/>
      <c r="D20" s="105"/>
      <c r="E20" s="105"/>
      <c r="F20" s="105">
        <v>0</v>
      </c>
      <c r="G20" s="105">
        <v>0</v>
      </c>
      <c r="H20" s="105"/>
      <c r="I20" s="105"/>
      <c r="J20" s="105"/>
      <c r="K20" s="105"/>
      <c r="L20" s="105"/>
      <c r="M20" s="105"/>
      <c r="N20" s="105"/>
      <c r="O20" s="105">
        <f t="shared" si="3"/>
        <v>0</v>
      </c>
    </row>
    <row r="21" spans="1:15" ht="16.5" customHeight="1" x14ac:dyDescent="0.15">
      <c r="A21" s="263"/>
      <c r="B21" s="166" t="s">
        <v>26</v>
      </c>
      <c r="C21" s="105"/>
      <c r="D21" s="105"/>
      <c r="E21" s="105"/>
      <c r="F21" s="105">
        <v>73550</v>
      </c>
      <c r="G21" s="105">
        <v>69830</v>
      </c>
      <c r="H21" s="105"/>
      <c r="I21" s="105"/>
      <c r="J21" s="105"/>
      <c r="K21" s="105"/>
      <c r="L21" s="105"/>
      <c r="M21" s="105"/>
      <c r="N21" s="105"/>
      <c r="O21" s="105">
        <f t="shared" si="3"/>
        <v>143380</v>
      </c>
    </row>
    <row r="22" spans="1:15" ht="16.5" customHeight="1" x14ac:dyDescent="0.15">
      <c r="A22" s="263"/>
      <c r="B22" s="166" t="s">
        <v>66</v>
      </c>
      <c r="C22" s="106"/>
      <c r="D22" s="105"/>
      <c r="E22" s="105"/>
      <c r="F22" s="105">
        <v>72614</v>
      </c>
      <c r="G22" s="105">
        <v>74772</v>
      </c>
      <c r="H22" s="105"/>
      <c r="I22" s="106"/>
      <c r="J22" s="106"/>
      <c r="K22" s="106"/>
      <c r="L22" s="106"/>
      <c r="M22" s="106"/>
      <c r="N22" s="106"/>
      <c r="O22" s="105">
        <f t="shared" si="3"/>
        <v>147386</v>
      </c>
    </row>
    <row r="23" spans="1:15" ht="16.5" customHeight="1" x14ac:dyDescent="0.15">
      <c r="A23" s="263"/>
      <c r="B23" s="166" t="s">
        <v>22</v>
      </c>
      <c r="C23" s="105"/>
      <c r="D23" s="105"/>
      <c r="E23" s="105"/>
      <c r="F23" s="105">
        <v>84504</v>
      </c>
      <c r="G23" s="105">
        <v>98286</v>
      </c>
      <c r="H23" s="105"/>
      <c r="I23" s="105"/>
      <c r="J23" s="105"/>
      <c r="K23" s="105"/>
      <c r="L23" s="105"/>
      <c r="M23" s="105"/>
      <c r="N23" s="105"/>
      <c r="O23" s="105">
        <f t="shared" si="3"/>
        <v>182790</v>
      </c>
    </row>
    <row r="24" spans="1:15" ht="16.5" customHeight="1" x14ac:dyDescent="0.15">
      <c r="A24" s="263"/>
      <c r="B24" s="166" t="s">
        <v>67</v>
      </c>
      <c r="C24" s="105"/>
      <c r="D24" s="105"/>
      <c r="E24" s="105"/>
      <c r="F24" s="105">
        <v>8523</v>
      </c>
      <c r="G24" s="105">
        <v>10646</v>
      </c>
      <c r="H24" s="105"/>
      <c r="I24" s="105"/>
      <c r="J24" s="105"/>
      <c r="K24" s="105"/>
      <c r="L24" s="105"/>
      <c r="M24" s="105"/>
      <c r="N24" s="105"/>
      <c r="O24" s="105">
        <f t="shared" si="3"/>
        <v>19169</v>
      </c>
    </row>
    <row r="25" spans="1:15" ht="16.5" customHeight="1" x14ac:dyDescent="0.15">
      <c r="A25" s="263"/>
      <c r="B25" s="166" t="s">
        <v>23</v>
      </c>
      <c r="C25" s="105"/>
      <c r="D25" s="105"/>
      <c r="E25" s="105"/>
      <c r="F25" s="105">
        <v>140835</v>
      </c>
      <c r="G25" s="105">
        <v>163804</v>
      </c>
      <c r="H25" s="105"/>
      <c r="I25" s="105"/>
      <c r="J25" s="105"/>
      <c r="K25" s="105"/>
      <c r="L25" s="105"/>
      <c r="M25" s="105"/>
      <c r="N25" s="105"/>
      <c r="O25" s="105">
        <f t="shared" si="3"/>
        <v>304639</v>
      </c>
    </row>
    <row r="26" spans="1:15" ht="16.5" customHeight="1" x14ac:dyDescent="0.15">
      <c r="A26" s="263"/>
      <c r="B26" s="166" t="s">
        <v>157</v>
      </c>
      <c r="C26" s="105"/>
      <c r="D26" s="105"/>
      <c r="E26" s="105"/>
      <c r="F26" s="105">
        <v>16762</v>
      </c>
      <c r="G26" s="105">
        <v>17930</v>
      </c>
      <c r="H26" s="105"/>
      <c r="I26" s="105"/>
      <c r="J26" s="105"/>
      <c r="K26" s="105"/>
      <c r="L26" s="105"/>
      <c r="M26" s="105"/>
      <c r="N26" s="105"/>
      <c r="O26" s="105">
        <f t="shared" si="3"/>
        <v>34692</v>
      </c>
    </row>
    <row r="27" spans="1:15" ht="16.5" customHeight="1" x14ac:dyDescent="0.15">
      <c r="A27" s="263"/>
      <c r="B27" s="166" t="s">
        <v>158</v>
      </c>
      <c r="C27" s="105"/>
      <c r="D27" s="105"/>
      <c r="E27" s="105"/>
      <c r="F27" s="105">
        <v>1972164</v>
      </c>
      <c r="G27" s="105">
        <v>2109485</v>
      </c>
      <c r="H27" s="105"/>
      <c r="I27" s="105"/>
      <c r="J27" s="105"/>
      <c r="K27" s="105"/>
      <c r="L27" s="105"/>
      <c r="M27" s="105"/>
      <c r="N27" s="105"/>
      <c r="O27" s="105">
        <f t="shared" si="3"/>
        <v>4081649</v>
      </c>
    </row>
    <row r="28" spans="1:15" ht="16.5" customHeight="1" x14ac:dyDescent="0.15">
      <c r="A28" s="263"/>
      <c r="B28" s="171"/>
      <c r="C28" s="107"/>
      <c r="D28" s="107"/>
      <c r="E28" s="107"/>
      <c r="F28" s="107">
        <v>12</v>
      </c>
      <c r="G28" s="107">
        <v>13</v>
      </c>
      <c r="H28" s="107"/>
      <c r="I28" s="107"/>
      <c r="J28" s="107"/>
      <c r="K28" s="107"/>
      <c r="L28" s="107"/>
      <c r="M28" s="107"/>
      <c r="N28" s="107"/>
      <c r="O28" s="107"/>
    </row>
    <row r="29" spans="1:15" ht="16.5" customHeight="1" thickBot="1" x14ac:dyDescent="0.2">
      <c r="A29" s="263"/>
      <c r="B29" s="171" t="s">
        <v>161</v>
      </c>
      <c r="C29" s="107"/>
      <c r="D29" s="107"/>
      <c r="E29" s="107"/>
      <c r="F29" s="107">
        <v>8</v>
      </c>
      <c r="G29" s="107">
        <v>5</v>
      </c>
      <c r="H29" s="107"/>
      <c r="I29" s="107"/>
      <c r="J29" s="107"/>
      <c r="K29" s="107"/>
      <c r="L29" s="107"/>
      <c r="M29" s="107"/>
      <c r="N29" s="107"/>
      <c r="O29" s="168">
        <f>SUM(C29:N29)</f>
        <v>13</v>
      </c>
    </row>
    <row r="30" spans="1:15" ht="16.5" customHeight="1" thickTop="1" x14ac:dyDescent="0.15">
      <c r="A30" s="263"/>
      <c r="B30" s="169" t="s">
        <v>159</v>
      </c>
      <c r="C30" s="110"/>
      <c r="D30" s="110"/>
      <c r="E30" s="110"/>
      <c r="F30" s="110">
        <v>306072</v>
      </c>
      <c r="G30" s="110">
        <v>185569</v>
      </c>
      <c r="H30" s="110" t="str">
        <f t="shared" ref="H30:M30" si="4">IF(H18="","",H18-SUM(H19:H26))</f>
        <v/>
      </c>
      <c r="I30" s="110" t="str">
        <f t="shared" si="4"/>
        <v/>
      </c>
      <c r="J30" s="110" t="str">
        <f t="shared" si="4"/>
        <v/>
      </c>
      <c r="K30" s="110" t="str">
        <f t="shared" si="4"/>
        <v/>
      </c>
      <c r="L30" s="110" t="str">
        <f t="shared" si="4"/>
        <v/>
      </c>
      <c r="M30" s="110" t="str">
        <f t="shared" si="4"/>
        <v/>
      </c>
      <c r="N30" s="110" t="str">
        <f>IF(N18="","",N18-SUM(N19:N26))</f>
        <v/>
      </c>
      <c r="O30" s="110">
        <f>IF(O18="","",O18-SUM(O19:O26))</f>
        <v>491641</v>
      </c>
    </row>
    <row r="31" spans="1:15" ht="16.5" customHeight="1" thickBot="1" x14ac:dyDescent="0.2">
      <c r="A31" s="264"/>
      <c r="B31" s="170" t="s">
        <v>160</v>
      </c>
      <c r="C31" s="112"/>
      <c r="D31" s="112"/>
      <c r="E31" s="112"/>
      <c r="F31" s="112">
        <v>0.12103161108167317</v>
      </c>
      <c r="G31" s="112">
        <v>7.1766857973794534E-2</v>
      </c>
      <c r="H31" s="112" t="str">
        <f t="shared" ref="H31:N31" si="5">IF(H18="","",IF(H18=0,"―     ",H30/H18))</f>
        <v/>
      </c>
      <c r="I31" s="112" t="str">
        <f t="shared" si="5"/>
        <v/>
      </c>
      <c r="J31" s="112" t="str">
        <f t="shared" si="5"/>
        <v/>
      </c>
      <c r="K31" s="112" t="str">
        <f t="shared" si="5"/>
        <v/>
      </c>
      <c r="L31" s="112" t="str">
        <f t="shared" si="5"/>
        <v/>
      </c>
      <c r="M31" s="112" t="str">
        <f t="shared" si="5"/>
        <v/>
      </c>
      <c r="N31" s="112" t="str">
        <f t="shared" si="5"/>
        <v/>
      </c>
      <c r="O31" s="112">
        <f>IF(O18="","",IF(O18=0,"―     ",O30/O18))</f>
        <v>9.6125390550152706E-2</v>
      </c>
    </row>
    <row r="32" spans="1:15" ht="16.5" customHeight="1" x14ac:dyDescent="0.15">
      <c r="A32" s="251"/>
      <c r="B32" s="164" t="s">
        <v>21</v>
      </c>
      <c r="C32" s="102"/>
      <c r="D32" s="102"/>
      <c r="E32" s="102">
        <v>85500</v>
      </c>
      <c r="F32" s="102">
        <v>277875</v>
      </c>
      <c r="G32" s="102">
        <v>212562</v>
      </c>
      <c r="H32" s="102"/>
      <c r="I32" s="102"/>
      <c r="J32" s="102"/>
      <c r="K32" s="102"/>
      <c r="L32" s="102"/>
      <c r="M32" s="102"/>
      <c r="N32" s="102"/>
      <c r="O32" s="103">
        <f>SUM(C32:N32)</f>
        <v>575937</v>
      </c>
    </row>
    <row r="33" spans="1:15" ht="16.5" customHeight="1" x14ac:dyDescent="0.15">
      <c r="A33" s="263"/>
      <c r="B33" s="166" t="s">
        <v>155</v>
      </c>
      <c r="C33" s="105"/>
      <c r="D33" s="105"/>
      <c r="E33" s="105">
        <v>58500</v>
      </c>
      <c r="F33" s="105">
        <v>185250</v>
      </c>
      <c r="G33" s="105">
        <v>136500</v>
      </c>
      <c r="H33" s="105"/>
      <c r="I33" s="105"/>
      <c r="J33" s="105"/>
      <c r="K33" s="105"/>
      <c r="L33" s="105"/>
      <c r="M33" s="105"/>
      <c r="N33" s="105"/>
      <c r="O33" s="105">
        <f t="shared" ref="O33:O41" si="6">SUM(C33:N33)</f>
        <v>380250</v>
      </c>
    </row>
    <row r="34" spans="1:15" ht="16.5" customHeight="1" x14ac:dyDescent="0.15">
      <c r="A34" s="263"/>
      <c r="B34" s="166" t="s">
        <v>156</v>
      </c>
      <c r="C34" s="105"/>
      <c r="D34" s="105"/>
      <c r="E34" s="105">
        <v>0</v>
      </c>
      <c r="F34" s="105">
        <v>0</v>
      </c>
      <c r="G34" s="105">
        <v>0</v>
      </c>
      <c r="H34" s="105"/>
      <c r="I34" s="105"/>
      <c r="J34" s="105"/>
      <c r="K34" s="105"/>
      <c r="L34" s="105"/>
      <c r="M34" s="105"/>
      <c r="N34" s="105"/>
      <c r="O34" s="105">
        <f t="shared" si="6"/>
        <v>0</v>
      </c>
    </row>
    <row r="35" spans="1:15" ht="16.5" customHeight="1" x14ac:dyDescent="0.15">
      <c r="A35" s="263"/>
      <c r="B35" s="166" t="s">
        <v>26</v>
      </c>
      <c r="C35" s="105"/>
      <c r="D35" s="105"/>
      <c r="E35" s="105">
        <v>0</v>
      </c>
      <c r="F35" s="105">
        <v>0</v>
      </c>
      <c r="G35" s="105">
        <v>0</v>
      </c>
      <c r="H35" s="105"/>
      <c r="I35" s="105"/>
      <c r="J35" s="105"/>
      <c r="K35" s="105"/>
      <c r="L35" s="105"/>
      <c r="M35" s="105"/>
      <c r="N35" s="105"/>
      <c r="O35" s="105">
        <f t="shared" si="6"/>
        <v>0</v>
      </c>
    </row>
    <row r="36" spans="1:15" ht="16.5" customHeight="1" x14ac:dyDescent="0.15">
      <c r="A36" s="263"/>
      <c r="B36" s="166" t="s">
        <v>66</v>
      </c>
      <c r="C36" s="106"/>
      <c r="D36" s="105"/>
      <c r="E36" s="105">
        <v>0</v>
      </c>
      <c r="F36" s="105">
        <v>4875</v>
      </c>
      <c r="G36" s="105">
        <v>8938</v>
      </c>
      <c r="H36" s="105"/>
      <c r="I36" s="106"/>
      <c r="J36" s="106"/>
      <c r="K36" s="106"/>
      <c r="L36" s="106"/>
      <c r="M36" s="106"/>
      <c r="N36" s="106"/>
      <c r="O36" s="105">
        <f t="shared" si="6"/>
        <v>13813</v>
      </c>
    </row>
    <row r="37" spans="1:15" ht="16.5" customHeight="1" x14ac:dyDescent="0.15">
      <c r="A37" s="263"/>
      <c r="B37" s="166" t="s">
        <v>22</v>
      </c>
      <c r="C37" s="105"/>
      <c r="D37" s="105"/>
      <c r="E37" s="105">
        <v>10060</v>
      </c>
      <c r="F37" s="105">
        <v>10060</v>
      </c>
      <c r="G37" s="105">
        <v>0</v>
      </c>
      <c r="H37" s="105"/>
      <c r="I37" s="105"/>
      <c r="J37" s="105"/>
      <c r="K37" s="105"/>
      <c r="L37" s="105"/>
      <c r="M37" s="105"/>
      <c r="N37" s="105"/>
      <c r="O37" s="105">
        <f t="shared" si="6"/>
        <v>20120</v>
      </c>
    </row>
    <row r="38" spans="1:15" ht="16.5" customHeight="1" x14ac:dyDescent="0.15">
      <c r="A38" s="263"/>
      <c r="B38" s="166" t="s">
        <v>67</v>
      </c>
      <c r="C38" s="105"/>
      <c r="D38" s="105"/>
      <c r="E38" s="105">
        <v>0</v>
      </c>
      <c r="F38" s="105">
        <v>0</v>
      </c>
      <c r="G38" s="105">
        <v>0</v>
      </c>
      <c r="H38" s="105"/>
      <c r="I38" s="105"/>
      <c r="J38" s="105"/>
      <c r="K38" s="105"/>
      <c r="L38" s="105"/>
      <c r="M38" s="105"/>
      <c r="N38" s="105"/>
      <c r="O38" s="105">
        <f t="shared" si="6"/>
        <v>0</v>
      </c>
    </row>
    <row r="39" spans="1:15" ht="16.5" customHeight="1" x14ac:dyDescent="0.15">
      <c r="A39" s="263"/>
      <c r="B39" s="166" t="s">
        <v>23</v>
      </c>
      <c r="C39" s="105"/>
      <c r="D39" s="105"/>
      <c r="E39" s="105">
        <v>16766</v>
      </c>
      <c r="F39" s="105">
        <v>16766</v>
      </c>
      <c r="G39" s="105">
        <v>0</v>
      </c>
      <c r="H39" s="105"/>
      <c r="I39" s="105"/>
      <c r="J39" s="105"/>
      <c r="K39" s="105"/>
      <c r="L39" s="105"/>
      <c r="M39" s="105"/>
      <c r="N39" s="105"/>
      <c r="O39" s="105">
        <f t="shared" si="6"/>
        <v>33532</v>
      </c>
    </row>
    <row r="40" spans="1:15" ht="16.5" customHeight="1" x14ac:dyDescent="0.15">
      <c r="A40" s="263"/>
      <c r="B40" s="166" t="s">
        <v>157</v>
      </c>
      <c r="C40" s="105"/>
      <c r="D40" s="105"/>
      <c r="E40" s="105">
        <v>496</v>
      </c>
      <c r="F40" s="105">
        <v>1617</v>
      </c>
      <c r="G40" s="105">
        <v>1236</v>
      </c>
      <c r="H40" s="105"/>
      <c r="I40" s="105"/>
      <c r="J40" s="105"/>
      <c r="K40" s="105"/>
      <c r="L40" s="105"/>
      <c r="M40" s="105"/>
      <c r="N40" s="105"/>
      <c r="O40" s="105">
        <f t="shared" si="6"/>
        <v>3349</v>
      </c>
    </row>
    <row r="41" spans="1:15" ht="16.5" customHeight="1" x14ac:dyDescent="0.15">
      <c r="A41" s="263"/>
      <c r="B41" s="166" t="s">
        <v>158</v>
      </c>
      <c r="C41" s="105"/>
      <c r="D41" s="105"/>
      <c r="E41" s="105">
        <v>58500</v>
      </c>
      <c r="F41" s="105">
        <v>190125</v>
      </c>
      <c r="G41" s="105">
        <v>145438</v>
      </c>
      <c r="H41" s="105"/>
      <c r="I41" s="105"/>
      <c r="J41" s="105"/>
      <c r="K41" s="105"/>
      <c r="L41" s="105"/>
      <c r="M41" s="105"/>
      <c r="N41" s="105"/>
      <c r="O41" s="105">
        <f t="shared" si="6"/>
        <v>394063</v>
      </c>
    </row>
    <row r="42" spans="1:15" ht="16.5" customHeight="1" x14ac:dyDescent="0.15">
      <c r="A42" s="263"/>
      <c r="B42" s="171"/>
      <c r="C42" s="107"/>
      <c r="D42" s="107"/>
      <c r="E42" s="107">
        <v>1</v>
      </c>
      <c r="F42" s="107">
        <v>1</v>
      </c>
      <c r="G42" s="107">
        <v>1</v>
      </c>
      <c r="H42" s="107"/>
      <c r="I42" s="107"/>
      <c r="J42" s="107"/>
      <c r="K42" s="107"/>
      <c r="L42" s="107"/>
      <c r="M42" s="107"/>
      <c r="N42" s="107"/>
      <c r="O42" s="107"/>
    </row>
    <row r="43" spans="1:15" ht="16.5" customHeight="1" thickBot="1" x14ac:dyDescent="0.2">
      <c r="A43" s="263"/>
      <c r="B43" s="171" t="s">
        <v>161</v>
      </c>
      <c r="C43" s="107"/>
      <c r="D43" s="107"/>
      <c r="E43" s="107">
        <v>0</v>
      </c>
      <c r="F43" s="107">
        <v>0</v>
      </c>
      <c r="G43" s="107">
        <v>0</v>
      </c>
      <c r="H43" s="107"/>
      <c r="I43" s="107"/>
      <c r="J43" s="107"/>
      <c r="K43" s="107"/>
      <c r="L43" s="107"/>
      <c r="M43" s="107"/>
      <c r="N43" s="107"/>
      <c r="O43" s="168">
        <f>SUM(C43:N43)</f>
        <v>0</v>
      </c>
    </row>
    <row r="44" spans="1:15" ht="16.5" customHeight="1" thickTop="1" x14ac:dyDescent="0.15">
      <c r="A44" s="263"/>
      <c r="B44" s="169" t="s">
        <v>159</v>
      </c>
      <c r="C44" s="110"/>
      <c r="D44" s="110"/>
      <c r="E44" s="110">
        <v>-322</v>
      </c>
      <c r="F44" s="110">
        <v>59307</v>
      </c>
      <c r="G44" s="110">
        <v>65888</v>
      </c>
      <c r="H44" s="110" t="str">
        <f t="shared" ref="H44:M44" si="7">IF(H32="","",H32-SUM(H33:H40))</f>
        <v/>
      </c>
      <c r="I44" s="110" t="str">
        <f t="shared" si="7"/>
        <v/>
      </c>
      <c r="J44" s="110" t="str">
        <f t="shared" si="7"/>
        <v/>
      </c>
      <c r="K44" s="110" t="str">
        <f t="shared" si="7"/>
        <v/>
      </c>
      <c r="L44" s="110" t="str">
        <f t="shared" si="7"/>
        <v/>
      </c>
      <c r="M44" s="110" t="str">
        <f t="shared" si="7"/>
        <v/>
      </c>
      <c r="N44" s="110" t="str">
        <f>IF(N32="","",N32-SUM(N33:N40))</f>
        <v/>
      </c>
      <c r="O44" s="110">
        <f>IF(O32="","",O32-SUM(O33:O40))</f>
        <v>124873</v>
      </c>
    </row>
    <row r="45" spans="1:15" ht="16.5" customHeight="1" thickBot="1" x14ac:dyDescent="0.2">
      <c r="A45" s="264"/>
      <c r="B45" s="170" t="s">
        <v>160</v>
      </c>
      <c r="C45" s="112"/>
      <c r="D45" s="112"/>
      <c r="E45" s="112">
        <v>-3.7660818713450292E-3</v>
      </c>
      <c r="F45" s="112">
        <v>0.21343049932523617</v>
      </c>
      <c r="G45" s="112">
        <v>0.30997073794939828</v>
      </c>
      <c r="H45" s="112" t="str">
        <f t="shared" ref="H45:N45" si="8">IF(H32="","",IF(H32=0,"―     ",H44/H32))</f>
        <v/>
      </c>
      <c r="I45" s="112" t="str">
        <f t="shared" si="8"/>
        <v/>
      </c>
      <c r="J45" s="112" t="str">
        <f t="shared" si="8"/>
        <v/>
      </c>
      <c r="K45" s="112" t="str">
        <f t="shared" si="8"/>
        <v/>
      </c>
      <c r="L45" s="112" t="str">
        <f t="shared" si="8"/>
        <v/>
      </c>
      <c r="M45" s="112" t="str">
        <f t="shared" si="8"/>
        <v/>
      </c>
      <c r="N45" s="112" t="str">
        <f t="shared" si="8"/>
        <v/>
      </c>
      <c r="O45" s="112">
        <f>IF(O32="","",IF(O32=0,"―     ",O44/O32))</f>
        <v>0.21681711714996604</v>
      </c>
    </row>
    <row r="46" spans="1:15" ht="16.5" customHeight="1" x14ac:dyDescent="0.15">
      <c r="A46" s="251"/>
      <c r="B46" s="164" t="s">
        <v>21</v>
      </c>
      <c r="C46" s="102"/>
      <c r="D46" s="102"/>
      <c r="E46" s="102">
        <v>303441</v>
      </c>
      <c r="F46" s="102">
        <v>331440</v>
      </c>
      <c r="G46" s="102">
        <v>338079</v>
      </c>
      <c r="H46" s="102"/>
      <c r="I46" s="102"/>
      <c r="J46" s="102"/>
      <c r="K46" s="102"/>
      <c r="L46" s="102"/>
      <c r="M46" s="102"/>
      <c r="N46" s="102"/>
      <c r="O46" s="103">
        <f>SUM(C46:N46)</f>
        <v>972960</v>
      </c>
    </row>
    <row r="47" spans="1:15" ht="16.5" customHeight="1" x14ac:dyDescent="0.15">
      <c r="A47" s="263"/>
      <c r="B47" s="166" t="s">
        <v>155</v>
      </c>
      <c r="C47" s="105"/>
      <c r="D47" s="105"/>
      <c r="E47" s="105">
        <v>147224</v>
      </c>
      <c r="F47" s="105">
        <v>162074</v>
      </c>
      <c r="G47" s="105">
        <v>167387</v>
      </c>
      <c r="H47" s="105"/>
      <c r="I47" s="105"/>
      <c r="J47" s="105"/>
      <c r="K47" s="105"/>
      <c r="L47" s="105"/>
      <c r="M47" s="105"/>
      <c r="N47" s="105"/>
      <c r="O47" s="105">
        <f t="shared" ref="O47:O55" si="9">SUM(C47:N47)</f>
        <v>476685</v>
      </c>
    </row>
    <row r="48" spans="1:15" ht="16.5" customHeight="1" x14ac:dyDescent="0.15">
      <c r="A48" s="263"/>
      <c r="B48" s="166" t="s">
        <v>156</v>
      </c>
      <c r="C48" s="105"/>
      <c r="D48" s="105"/>
      <c r="E48" s="105">
        <v>0</v>
      </c>
      <c r="F48" s="105">
        <v>0</v>
      </c>
      <c r="G48" s="105">
        <v>0</v>
      </c>
      <c r="H48" s="105"/>
      <c r="I48" s="105"/>
      <c r="J48" s="105"/>
      <c r="K48" s="105"/>
      <c r="L48" s="105"/>
      <c r="M48" s="105"/>
      <c r="N48" s="105"/>
      <c r="O48" s="105">
        <f t="shared" si="9"/>
        <v>0</v>
      </c>
    </row>
    <row r="49" spans="1:15" ht="16.5" customHeight="1" x14ac:dyDescent="0.15">
      <c r="A49" s="263"/>
      <c r="B49" s="166" t="s">
        <v>26</v>
      </c>
      <c r="C49" s="105"/>
      <c r="D49" s="105"/>
      <c r="E49" s="105">
        <v>0</v>
      </c>
      <c r="F49" s="105">
        <v>0</v>
      </c>
      <c r="G49" s="105">
        <v>0</v>
      </c>
      <c r="H49" s="105"/>
      <c r="I49" s="105"/>
      <c r="J49" s="105"/>
      <c r="K49" s="105"/>
      <c r="L49" s="105"/>
      <c r="M49" s="105"/>
      <c r="N49" s="105"/>
      <c r="O49" s="105">
        <f t="shared" si="9"/>
        <v>0</v>
      </c>
    </row>
    <row r="50" spans="1:15" ht="16.5" customHeight="1" x14ac:dyDescent="0.15">
      <c r="A50" s="263"/>
      <c r="B50" s="166" t="s">
        <v>66</v>
      </c>
      <c r="C50" s="106"/>
      <c r="D50" s="105"/>
      <c r="E50" s="105">
        <v>43561</v>
      </c>
      <c r="F50" s="105">
        <v>46297</v>
      </c>
      <c r="G50" s="105">
        <v>45155</v>
      </c>
      <c r="H50" s="105"/>
      <c r="I50" s="106"/>
      <c r="J50" s="106"/>
      <c r="K50" s="106"/>
      <c r="L50" s="106"/>
      <c r="M50" s="106"/>
      <c r="N50" s="106"/>
      <c r="O50" s="105">
        <f t="shared" si="9"/>
        <v>135013</v>
      </c>
    </row>
    <row r="51" spans="1:15" ht="16.5" customHeight="1" x14ac:dyDescent="0.15">
      <c r="A51" s="263"/>
      <c r="B51" s="166" t="s">
        <v>22</v>
      </c>
      <c r="C51" s="105"/>
      <c r="D51" s="105"/>
      <c r="E51" s="105">
        <v>9054</v>
      </c>
      <c r="F51" s="105">
        <v>9054</v>
      </c>
      <c r="G51" s="105">
        <v>9054</v>
      </c>
      <c r="H51" s="105"/>
      <c r="I51" s="105"/>
      <c r="J51" s="105"/>
      <c r="K51" s="105"/>
      <c r="L51" s="105"/>
      <c r="M51" s="105"/>
      <c r="N51" s="105"/>
      <c r="O51" s="105">
        <f t="shared" si="9"/>
        <v>27162</v>
      </c>
    </row>
    <row r="52" spans="1:15" ht="16.5" customHeight="1" x14ac:dyDescent="0.15">
      <c r="A52" s="263"/>
      <c r="B52" s="166" t="s">
        <v>67</v>
      </c>
      <c r="C52" s="105"/>
      <c r="D52" s="105"/>
      <c r="E52" s="105">
        <v>0</v>
      </c>
      <c r="F52" s="105">
        <v>0</v>
      </c>
      <c r="G52" s="105">
        <v>0</v>
      </c>
      <c r="H52" s="105"/>
      <c r="I52" s="105"/>
      <c r="J52" s="105"/>
      <c r="K52" s="105"/>
      <c r="L52" s="105"/>
      <c r="M52" s="105"/>
      <c r="N52" s="105"/>
      <c r="O52" s="105">
        <f t="shared" si="9"/>
        <v>0</v>
      </c>
    </row>
    <row r="53" spans="1:15" ht="16.5" customHeight="1" x14ac:dyDescent="0.15">
      <c r="A53" s="263"/>
      <c r="B53" s="166" t="s">
        <v>23</v>
      </c>
      <c r="C53" s="105"/>
      <c r="D53" s="105"/>
      <c r="E53" s="105">
        <v>15089</v>
      </c>
      <c r="F53" s="105">
        <v>15089</v>
      </c>
      <c r="G53" s="105">
        <v>15089</v>
      </c>
      <c r="H53" s="105"/>
      <c r="I53" s="105"/>
      <c r="J53" s="105"/>
      <c r="K53" s="105"/>
      <c r="L53" s="105"/>
      <c r="M53" s="105"/>
      <c r="N53" s="105"/>
      <c r="O53" s="105">
        <f t="shared" si="9"/>
        <v>45267</v>
      </c>
    </row>
    <row r="54" spans="1:15" ht="16.5" customHeight="1" x14ac:dyDescent="0.15">
      <c r="A54" s="263"/>
      <c r="B54" s="166" t="s">
        <v>157</v>
      </c>
      <c r="C54" s="105"/>
      <c r="D54" s="105"/>
      <c r="E54" s="105">
        <v>1622</v>
      </c>
      <c r="F54" s="105">
        <v>1771</v>
      </c>
      <c r="G54" s="105">
        <v>1807</v>
      </c>
      <c r="H54" s="105"/>
      <c r="I54" s="105"/>
      <c r="J54" s="105"/>
      <c r="K54" s="105"/>
      <c r="L54" s="105"/>
      <c r="M54" s="105"/>
      <c r="N54" s="105"/>
      <c r="O54" s="105">
        <f t="shared" si="9"/>
        <v>5200</v>
      </c>
    </row>
    <row r="55" spans="1:15" ht="16.5" customHeight="1" x14ac:dyDescent="0.15">
      <c r="A55" s="263"/>
      <c r="B55" s="166" t="s">
        <v>158</v>
      </c>
      <c r="C55" s="105"/>
      <c r="D55" s="105"/>
      <c r="E55" s="105">
        <v>190785</v>
      </c>
      <c r="F55" s="105">
        <v>208371</v>
      </c>
      <c r="G55" s="105">
        <v>212542</v>
      </c>
      <c r="H55" s="105"/>
      <c r="I55" s="105"/>
      <c r="J55" s="105"/>
      <c r="K55" s="105"/>
      <c r="L55" s="105"/>
      <c r="M55" s="105"/>
      <c r="N55" s="105"/>
      <c r="O55" s="105">
        <f t="shared" si="9"/>
        <v>611698</v>
      </c>
    </row>
    <row r="56" spans="1:15" ht="16.5" customHeight="1" x14ac:dyDescent="0.15">
      <c r="A56" s="263"/>
      <c r="B56" s="171"/>
      <c r="C56" s="107"/>
      <c r="D56" s="107"/>
      <c r="E56" s="107">
        <v>1</v>
      </c>
      <c r="F56" s="107">
        <v>1</v>
      </c>
      <c r="G56" s="107">
        <v>1</v>
      </c>
      <c r="H56" s="107"/>
      <c r="I56" s="107"/>
      <c r="J56" s="107"/>
      <c r="K56" s="107"/>
      <c r="L56" s="107"/>
      <c r="M56" s="107"/>
      <c r="N56" s="107"/>
      <c r="O56" s="107"/>
    </row>
    <row r="57" spans="1:15" ht="16.5" customHeight="1" thickBot="1" x14ac:dyDescent="0.2">
      <c r="A57" s="263"/>
      <c r="B57" s="171" t="s">
        <v>161</v>
      </c>
      <c r="C57" s="107"/>
      <c r="D57" s="107"/>
      <c r="E57" s="107">
        <v>0</v>
      </c>
      <c r="F57" s="107">
        <v>0</v>
      </c>
      <c r="G57" s="107">
        <v>0</v>
      </c>
      <c r="H57" s="107"/>
      <c r="I57" s="107"/>
      <c r="J57" s="107"/>
      <c r="K57" s="107"/>
      <c r="L57" s="107"/>
      <c r="M57" s="107"/>
      <c r="N57" s="107"/>
      <c r="O57" s="168">
        <f>SUM(C57:N57)</f>
        <v>0</v>
      </c>
    </row>
    <row r="58" spans="1:15" ht="16.5" customHeight="1" thickTop="1" x14ac:dyDescent="0.15">
      <c r="A58" s="263"/>
      <c r="B58" s="169" t="s">
        <v>159</v>
      </c>
      <c r="C58" s="110"/>
      <c r="D58" s="110"/>
      <c r="E58" s="110">
        <v>86891</v>
      </c>
      <c r="F58" s="110">
        <v>97155</v>
      </c>
      <c r="G58" s="110">
        <v>99587</v>
      </c>
      <c r="H58" s="110" t="str">
        <f t="shared" ref="H58:M58" si="10">IF(H46="","",H46-SUM(H47:H54))</f>
        <v/>
      </c>
      <c r="I58" s="110" t="str">
        <f t="shared" si="10"/>
        <v/>
      </c>
      <c r="J58" s="110" t="str">
        <f t="shared" si="10"/>
        <v/>
      </c>
      <c r="K58" s="110" t="str">
        <f t="shared" si="10"/>
        <v/>
      </c>
      <c r="L58" s="110" t="str">
        <f t="shared" si="10"/>
        <v/>
      </c>
      <c r="M58" s="110" t="str">
        <f t="shared" si="10"/>
        <v/>
      </c>
      <c r="N58" s="110" t="str">
        <f>IF(N46="","",N46-SUM(N47:N54))</f>
        <v/>
      </c>
      <c r="O58" s="110">
        <f>IF(O46="","",O46-SUM(O47:O54))</f>
        <v>283633</v>
      </c>
    </row>
    <row r="59" spans="1:15" ht="16.5" customHeight="1" thickBot="1" x14ac:dyDescent="0.2">
      <c r="A59" s="264"/>
      <c r="B59" s="170" t="s">
        <v>160</v>
      </c>
      <c r="C59" s="112"/>
      <c r="D59" s="112"/>
      <c r="E59" s="112">
        <v>0.28635220685405072</v>
      </c>
      <c r="F59" s="112">
        <v>0.29312997827661114</v>
      </c>
      <c r="G59" s="112">
        <v>0.29456724611703183</v>
      </c>
      <c r="H59" s="112" t="str">
        <f t="shared" ref="H59:N59" si="11">IF(H46="","",IF(H46=0,"―     ",H58/H46))</f>
        <v/>
      </c>
      <c r="I59" s="112" t="str">
        <f t="shared" si="11"/>
        <v/>
      </c>
      <c r="J59" s="112" t="str">
        <f t="shared" si="11"/>
        <v/>
      </c>
      <c r="K59" s="112" t="str">
        <f t="shared" si="11"/>
        <v/>
      </c>
      <c r="L59" s="112" t="str">
        <f t="shared" si="11"/>
        <v/>
      </c>
      <c r="M59" s="112" t="str">
        <f t="shared" si="11"/>
        <v/>
      </c>
      <c r="N59" s="112" t="str">
        <f t="shared" si="11"/>
        <v/>
      </c>
      <c r="O59" s="112">
        <f>IF(O46="","",IF(O46=0,"―     ",O58/O46))</f>
        <v>0.29151558131886202</v>
      </c>
    </row>
    <row r="60" spans="1:15" ht="16.5" customHeight="1" x14ac:dyDescent="0.15">
      <c r="A60" s="251"/>
      <c r="B60" s="164" t="s">
        <v>21</v>
      </c>
      <c r="C60" s="102"/>
      <c r="D60" s="102"/>
      <c r="E60" s="102">
        <v>622000</v>
      </c>
      <c r="F60" s="102">
        <v>573187</v>
      </c>
      <c r="G60" s="102">
        <v>560987</v>
      </c>
      <c r="H60" s="102"/>
      <c r="I60" s="102"/>
      <c r="J60" s="102"/>
      <c r="K60" s="102"/>
      <c r="L60" s="102"/>
      <c r="M60" s="102"/>
      <c r="N60" s="102"/>
      <c r="O60" s="103">
        <f>SUM(C60:N60)</f>
        <v>1756174</v>
      </c>
    </row>
    <row r="61" spans="1:15" ht="16.5" customHeight="1" x14ac:dyDescent="0.15">
      <c r="A61" s="263"/>
      <c r="B61" s="166" t="s">
        <v>155</v>
      </c>
      <c r="C61" s="105"/>
      <c r="D61" s="105"/>
      <c r="E61" s="105">
        <v>426550</v>
      </c>
      <c r="F61" s="105">
        <v>406950</v>
      </c>
      <c r="G61" s="105">
        <v>378600</v>
      </c>
      <c r="H61" s="105"/>
      <c r="I61" s="105"/>
      <c r="J61" s="105"/>
      <c r="K61" s="105"/>
      <c r="L61" s="105"/>
      <c r="M61" s="105"/>
      <c r="N61" s="105"/>
      <c r="O61" s="105">
        <f t="shared" ref="O61:O69" si="12">SUM(C61:N61)</f>
        <v>1212100</v>
      </c>
    </row>
    <row r="62" spans="1:15" ht="16.5" customHeight="1" x14ac:dyDescent="0.15">
      <c r="A62" s="263"/>
      <c r="B62" s="166" t="s">
        <v>156</v>
      </c>
      <c r="C62" s="105"/>
      <c r="D62" s="105"/>
      <c r="E62" s="105">
        <v>0</v>
      </c>
      <c r="F62" s="105">
        <v>0</v>
      </c>
      <c r="G62" s="105">
        <v>0</v>
      </c>
      <c r="H62" s="105"/>
      <c r="I62" s="105"/>
      <c r="J62" s="105"/>
      <c r="K62" s="105"/>
      <c r="L62" s="105"/>
      <c r="M62" s="105"/>
      <c r="N62" s="105"/>
      <c r="O62" s="105">
        <f t="shared" si="12"/>
        <v>0</v>
      </c>
    </row>
    <row r="63" spans="1:15" ht="16.5" customHeight="1" x14ac:dyDescent="0.15">
      <c r="A63" s="263"/>
      <c r="B63" s="166" t="s">
        <v>26</v>
      </c>
      <c r="C63" s="105"/>
      <c r="D63" s="105"/>
      <c r="E63" s="105">
        <v>0</v>
      </c>
      <c r="F63" s="105">
        <v>0</v>
      </c>
      <c r="G63" s="105">
        <v>0</v>
      </c>
      <c r="H63" s="105"/>
      <c r="I63" s="105"/>
      <c r="J63" s="105"/>
      <c r="K63" s="105"/>
      <c r="L63" s="105"/>
      <c r="M63" s="105"/>
      <c r="N63" s="105"/>
      <c r="O63" s="105">
        <f t="shared" si="12"/>
        <v>0</v>
      </c>
    </row>
    <row r="64" spans="1:15" ht="16.5" customHeight="1" x14ac:dyDescent="0.15">
      <c r="A64" s="263"/>
      <c r="B64" s="166" t="s">
        <v>66</v>
      </c>
      <c r="C64" s="106"/>
      <c r="D64" s="105"/>
      <c r="E64" s="105">
        <v>344</v>
      </c>
      <c r="F64" s="105">
        <v>3000</v>
      </c>
      <c r="G64" s="105">
        <v>6000</v>
      </c>
      <c r="H64" s="105"/>
      <c r="I64" s="106"/>
      <c r="J64" s="106"/>
      <c r="K64" s="106"/>
      <c r="L64" s="106"/>
      <c r="M64" s="106"/>
      <c r="N64" s="106"/>
      <c r="O64" s="105">
        <f t="shared" si="12"/>
        <v>9344</v>
      </c>
    </row>
    <row r="65" spans="1:15" ht="16.5" customHeight="1" x14ac:dyDescent="0.15">
      <c r="A65" s="263"/>
      <c r="B65" s="166" t="s">
        <v>22</v>
      </c>
      <c r="C65" s="105"/>
      <c r="D65" s="105"/>
      <c r="E65" s="105">
        <v>26659</v>
      </c>
      <c r="F65" s="105">
        <v>18108</v>
      </c>
      <c r="G65" s="105">
        <v>18108</v>
      </c>
      <c r="H65" s="105"/>
      <c r="I65" s="105"/>
      <c r="J65" s="105"/>
      <c r="K65" s="105"/>
      <c r="L65" s="105"/>
      <c r="M65" s="105"/>
      <c r="N65" s="105"/>
      <c r="O65" s="105">
        <f t="shared" si="12"/>
        <v>62875</v>
      </c>
    </row>
    <row r="66" spans="1:15" ht="16.5" customHeight="1" x14ac:dyDescent="0.15">
      <c r="A66" s="263"/>
      <c r="B66" s="166" t="s">
        <v>67</v>
      </c>
      <c r="C66" s="105"/>
      <c r="D66" s="105"/>
      <c r="E66" s="105">
        <v>0</v>
      </c>
      <c r="F66" s="105">
        <v>0</v>
      </c>
      <c r="G66" s="105">
        <v>0</v>
      </c>
      <c r="H66" s="105"/>
      <c r="I66" s="105"/>
      <c r="J66" s="105"/>
      <c r="K66" s="105"/>
      <c r="L66" s="105"/>
      <c r="M66" s="105"/>
      <c r="N66" s="105"/>
      <c r="O66" s="105">
        <f t="shared" si="12"/>
        <v>0</v>
      </c>
    </row>
    <row r="67" spans="1:15" ht="16.5" customHeight="1" x14ac:dyDescent="0.15">
      <c r="A67" s="263"/>
      <c r="B67" s="166" t="s">
        <v>23</v>
      </c>
      <c r="C67" s="105"/>
      <c r="D67" s="105"/>
      <c r="E67" s="105">
        <v>44429</v>
      </c>
      <c r="F67" s="105">
        <v>30178</v>
      </c>
      <c r="G67" s="105">
        <v>30178</v>
      </c>
      <c r="H67" s="105"/>
      <c r="I67" s="105"/>
      <c r="J67" s="105"/>
      <c r="K67" s="105"/>
      <c r="L67" s="105"/>
      <c r="M67" s="105"/>
      <c r="N67" s="105"/>
      <c r="O67" s="105">
        <f t="shared" si="12"/>
        <v>104785</v>
      </c>
    </row>
    <row r="68" spans="1:15" ht="16.5" customHeight="1" x14ac:dyDescent="0.15">
      <c r="A68" s="263"/>
      <c r="B68" s="166" t="s">
        <v>157</v>
      </c>
      <c r="C68" s="105"/>
      <c r="D68" s="105"/>
      <c r="E68" s="105">
        <v>3628</v>
      </c>
      <c r="F68" s="105">
        <v>3338</v>
      </c>
      <c r="G68" s="105">
        <v>3270</v>
      </c>
      <c r="H68" s="105"/>
      <c r="I68" s="105"/>
      <c r="J68" s="105"/>
      <c r="K68" s="105"/>
      <c r="L68" s="105"/>
      <c r="M68" s="105"/>
      <c r="N68" s="105"/>
      <c r="O68" s="105">
        <f t="shared" si="12"/>
        <v>10236</v>
      </c>
    </row>
    <row r="69" spans="1:15" ht="16.5" customHeight="1" x14ac:dyDescent="0.15">
      <c r="A69" s="263"/>
      <c r="B69" s="166" t="s">
        <v>158</v>
      </c>
      <c r="C69" s="105"/>
      <c r="D69" s="105"/>
      <c r="E69" s="105">
        <v>426894</v>
      </c>
      <c r="F69" s="105">
        <v>409950</v>
      </c>
      <c r="G69" s="105">
        <v>384600</v>
      </c>
      <c r="H69" s="105"/>
      <c r="I69" s="105"/>
      <c r="J69" s="105"/>
      <c r="K69" s="105"/>
      <c r="L69" s="105"/>
      <c r="M69" s="105"/>
      <c r="N69" s="105"/>
      <c r="O69" s="105">
        <f t="shared" si="12"/>
        <v>1221444</v>
      </c>
    </row>
    <row r="70" spans="1:15" ht="16.5" customHeight="1" x14ac:dyDescent="0.15">
      <c r="A70" s="263"/>
      <c r="B70" s="171"/>
      <c r="C70" s="107"/>
      <c r="D70" s="107"/>
      <c r="E70" s="107">
        <v>3</v>
      </c>
      <c r="F70" s="107">
        <v>3</v>
      </c>
      <c r="G70" s="107">
        <v>2</v>
      </c>
      <c r="H70" s="107"/>
      <c r="I70" s="107"/>
      <c r="J70" s="107"/>
      <c r="K70" s="107"/>
      <c r="L70" s="107"/>
      <c r="M70" s="107"/>
      <c r="N70" s="107"/>
      <c r="O70" s="107"/>
    </row>
    <row r="71" spans="1:15" ht="16.5" customHeight="1" thickBot="1" x14ac:dyDescent="0.2">
      <c r="A71" s="263"/>
      <c r="B71" s="171" t="s">
        <v>161</v>
      </c>
      <c r="C71" s="107"/>
      <c r="D71" s="107"/>
      <c r="E71" s="107">
        <v>0</v>
      </c>
      <c r="F71" s="107">
        <v>0</v>
      </c>
      <c r="G71" s="107">
        <v>0</v>
      </c>
      <c r="H71" s="107"/>
      <c r="I71" s="107"/>
      <c r="J71" s="107"/>
      <c r="K71" s="107"/>
      <c r="L71" s="107"/>
      <c r="M71" s="107"/>
      <c r="N71" s="107"/>
      <c r="O71" s="168">
        <f>SUM(C71:N71)</f>
        <v>0</v>
      </c>
    </row>
    <row r="72" spans="1:15" ht="16.5" customHeight="1" thickTop="1" x14ac:dyDescent="0.15">
      <c r="A72" s="263"/>
      <c r="B72" s="169" t="s">
        <v>159</v>
      </c>
      <c r="C72" s="110"/>
      <c r="D72" s="110"/>
      <c r="E72" s="110">
        <v>120390</v>
      </c>
      <c r="F72" s="110">
        <v>111613</v>
      </c>
      <c r="G72" s="110">
        <v>124831</v>
      </c>
      <c r="H72" s="110" t="str">
        <f t="shared" ref="H72:M72" si="13">IF(H60="","",H60-SUM(H61:H68))</f>
        <v/>
      </c>
      <c r="I72" s="110" t="str">
        <f t="shared" si="13"/>
        <v/>
      </c>
      <c r="J72" s="110" t="str">
        <f t="shared" si="13"/>
        <v/>
      </c>
      <c r="K72" s="110" t="str">
        <f t="shared" si="13"/>
        <v/>
      </c>
      <c r="L72" s="110" t="str">
        <f t="shared" si="13"/>
        <v/>
      </c>
      <c r="M72" s="110" t="str">
        <f t="shared" si="13"/>
        <v/>
      </c>
      <c r="N72" s="110" t="str">
        <f>IF(N60="","",N60-SUM(N61:N68))</f>
        <v/>
      </c>
      <c r="O72" s="110">
        <f>IF(O60="","",O60-SUM(O61:O68))</f>
        <v>356834</v>
      </c>
    </row>
    <row r="73" spans="1:15" ht="16.5" customHeight="1" thickBot="1" x14ac:dyDescent="0.2">
      <c r="A73" s="264"/>
      <c r="B73" s="170" t="s">
        <v>160</v>
      </c>
      <c r="C73" s="112"/>
      <c r="D73" s="112"/>
      <c r="E73" s="112">
        <v>0.19355305466237943</v>
      </c>
      <c r="F73" s="112">
        <v>0.19472353699577974</v>
      </c>
      <c r="G73" s="112">
        <v>0.22252030795722538</v>
      </c>
      <c r="H73" s="112" t="str">
        <f t="shared" ref="H73:N73" si="14">IF(H60="","",IF(H60=0,"―     ",H72/H60))</f>
        <v/>
      </c>
      <c r="I73" s="112" t="str">
        <f t="shared" si="14"/>
        <v/>
      </c>
      <c r="J73" s="112" t="str">
        <f t="shared" si="14"/>
        <v/>
      </c>
      <c r="K73" s="112" t="str">
        <f t="shared" si="14"/>
        <v/>
      </c>
      <c r="L73" s="112" t="str">
        <f t="shared" si="14"/>
        <v/>
      </c>
      <c r="M73" s="112" t="str">
        <f t="shared" si="14"/>
        <v/>
      </c>
      <c r="N73" s="112" t="str">
        <f t="shared" si="14"/>
        <v/>
      </c>
      <c r="O73" s="112">
        <f>IF(O60="","",IF(O60=0,"―     ",O72/O60))</f>
        <v>0.20318829455395651</v>
      </c>
    </row>
    <row r="74" spans="1:15" ht="16.5" customHeight="1" x14ac:dyDescent="0.15">
      <c r="A74" s="251"/>
      <c r="B74" s="164" t="s">
        <v>21</v>
      </c>
      <c r="C74" s="102"/>
      <c r="D74" s="102"/>
      <c r="E74" s="102">
        <v>38675</v>
      </c>
      <c r="F74" s="102">
        <v>263500</v>
      </c>
      <c r="G74" s="102">
        <v>263925</v>
      </c>
      <c r="H74" s="102"/>
      <c r="I74" s="102"/>
      <c r="J74" s="102"/>
      <c r="K74" s="102"/>
      <c r="L74" s="102"/>
      <c r="M74" s="102"/>
      <c r="N74" s="102"/>
      <c r="O74" s="103">
        <f>SUM(C74:N74)</f>
        <v>566100</v>
      </c>
    </row>
    <row r="75" spans="1:15" ht="16.5" customHeight="1" x14ac:dyDescent="0.15">
      <c r="A75" s="263"/>
      <c r="B75" s="166" t="s">
        <v>155</v>
      </c>
      <c r="C75" s="105"/>
      <c r="D75" s="105"/>
      <c r="E75" s="105">
        <v>22750</v>
      </c>
      <c r="F75" s="105">
        <v>155000</v>
      </c>
      <c r="G75" s="105">
        <v>155250</v>
      </c>
      <c r="H75" s="105"/>
      <c r="I75" s="105"/>
      <c r="J75" s="105"/>
      <c r="K75" s="105"/>
      <c r="L75" s="105"/>
      <c r="M75" s="105"/>
      <c r="N75" s="105"/>
      <c r="O75" s="105">
        <f t="shared" ref="O75:O83" si="15">SUM(C75:N75)</f>
        <v>333000</v>
      </c>
    </row>
    <row r="76" spans="1:15" ht="16.5" customHeight="1" x14ac:dyDescent="0.15">
      <c r="A76" s="263"/>
      <c r="B76" s="166" t="s">
        <v>156</v>
      </c>
      <c r="C76" s="105"/>
      <c r="D76" s="105"/>
      <c r="E76" s="105">
        <v>0</v>
      </c>
      <c r="F76" s="105">
        <v>0</v>
      </c>
      <c r="G76" s="105">
        <v>0</v>
      </c>
      <c r="H76" s="105"/>
      <c r="I76" s="105"/>
      <c r="J76" s="105"/>
      <c r="K76" s="105"/>
      <c r="L76" s="105"/>
      <c r="M76" s="105"/>
      <c r="N76" s="105"/>
      <c r="O76" s="105">
        <f t="shared" si="15"/>
        <v>0</v>
      </c>
    </row>
    <row r="77" spans="1:15" ht="16.5" customHeight="1" x14ac:dyDescent="0.15">
      <c r="A77" s="263"/>
      <c r="B77" s="166" t="s">
        <v>26</v>
      </c>
      <c r="C77" s="105"/>
      <c r="D77" s="105"/>
      <c r="E77" s="105">
        <v>0</v>
      </c>
      <c r="F77" s="105">
        <v>0</v>
      </c>
      <c r="G77" s="105">
        <v>0</v>
      </c>
      <c r="H77" s="105"/>
      <c r="I77" s="105"/>
      <c r="J77" s="105"/>
      <c r="K77" s="105"/>
      <c r="L77" s="105"/>
      <c r="M77" s="105"/>
      <c r="N77" s="105"/>
      <c r="O77" s="105">
        <f t="shared" si="15"/>
        <v>0</v>
      </c>
    </row>
    <row r="78" spans="1:15" ht="16.5" customHeight="1" x14ac:dyDescent="0.15">
      <c r="A78" s="263"/>
      <c r="B78" s="166" t="s">
        <v>66</v>
      </c>
      <c r="C78" s="106"/>
      <c r="D78" s="105"/>
      <c r="E78" s="105">
        <v>0</v>
      </c>
      <c r="F78" s="105">
        <v>0</v>
      </c>
      <c r="G78" s="105">
        <v>0</v>
      </c>
      <c r="H78" s="105"/>
      <c r="I78" s="106"/>
      <c r="J78" s="106"/>
      <c r="K78" s="106"/>
      <c r="L78" s="106"/>
      <c r="M78" s="106"/>
      <c r="N78" s="106"/>
      <c r="O78" s="105">
        <f t="shared" si="15"/>
        <v>0</v>
      </c>
    </row>
    <row r="79" spans="1:15" ht="16.5" customHeight="1" x14ac:dyDescent="0.15">
      <c r="A79" s="263"/>
      <c r="B79" s="166" t="s">
        <v>22</v>
      </c>
      <c r="C79" s="105"/>
      <c r="D79" s="105"/>
      <c r="E79" s="105">
        <v>0</v>
      </c>
      <c r="F79" s="105">
        <v>0</v>
      </c>
      <c r="G79" s="105">
        <v>8048</v>
      </c>
      <c r="H79" s="105"/>
      <c r="I79" s="105"/>
      <c r="J79" s="105"/>
      <c r="K79" s="105"/>
      <c r="L79" s="105"/>
      <c r="M79" s="105"/>
      <c r="N79" s="105"/>
      <c r="O79" s="105">
        <f t="shared" si="15"/>
        <v>8048</v>
      </c>
    </row>
    <row r="80" spans="1:15" ht="16.5" customHeight="1" x14ac:dyDescent="0.15">
      <c r="A80" s="263"/>
      <c r="B80" s="166" t="s">
        <v>67</v>
      </c>
      <c r="C80" s="105"/>
      <c r="D80" s="105"/>
      <c r="E80" s="105">
        <v>0</v>
      </c>
      <c r="F80" s="105">
        <v>0</v>
      </c>
      <c r="G80" s="105">
        <v>0</v>
      </c>
      <c r="H80" s="105"/>
      <c r="I80" s="105"/>
      <c r="J80" s="105"/>
      <c r="K80" s="105"/>
      <c r="L80" s="105"/>
      <c r="M80" s="105"/>
      <c r="N80" s="105"/>
      <c r="O80" s="105">
        <f t="shared" si="15"/>
        <v>0</v>
      </c>
    </row>
    <row r="81" spans="1:15" ht="16.5" customHeight="1" x14ac:dyDescent="0.15">
      <c r="A81" s="263"/>
      <c r="B81" s="166" t="s">
        <v>23</v>
      </c>
      <c r="C81" s="105"/>
      <c r="D81" s="105"/>
      <c r="E81" s="105">
        <v>0</v>
      </c>
      <c r="F81" s="105">
        <v>0</v>
      </c>
      <c r="G81" s="105">
        <v>13413</v>
      </c>
      <c r="H81" s="105"/>
      <c r="I81" s="105"/>
      <c r="J81" s="105"/>
      <c r="K81" s="105"/>
      <c r="L81" s="105"/>
      <c r="M81" s="105"/>
      <c r="N81" s="105"/>
      <c r="O81" s="105">
        <f t="shared" si="15"/>
        <v>13413</v>
      </c>
    </row>
    <row r="82" spans="1:15" ht="16.5" customHeight="1" x14ac:dyDescent="0.15">
      <c r="A82" s="263"/>
      <c r="B82" s="166" t="s">
        <v>157</v>
      </c>
      <c r="C82" s="105"/>
      <c r="D82" s="105"/>
      <c r="E82" s="105">
        <v>194</v>
      </c>
      <c r="F82" s="105">
        <v>1318</v>
      </c>
      <c r="G82" s="105">
        <v>1319</v>
      </c>
      <c r="H82" s="105"/>
      <c r="I82" s="105"/>
      <c r="J82" s="105"/>
      <c r="K82" s="105"/>
      <c r="L82" s="105"/>
      <c r="M82" s="105"/>
      <c r="N82" s="105"/>
      <c r="O82" s="105">
        <f t="shared" si="15"/>
        <v>2831</v>
      </c>
    </row>
    <row r="83" spans="1:15" ht="16.5" customHeight="1" x14ac:dyDescent="0.15">
      <c r="A83" s="263"/>
      <c r="B83" s="166" t="s">
        <v>158</v>
      </c>
      <c r="C83" s="105"/>
      <c r="D83" s="105"/>
      <c r="E83" s="105">
        <v>22750</v>
      </c>
      <c r="F83" s="105">
        <v>155000</v>
      </c>
      <c r="G83" s="105">
        <v>155250</v>
      </c>
      <c r="H83" s="105"/>
      <c r="I83" s="105"/>
      <c r="J83" s="105"/>
      <c r="K83" s="105"/>
      <c r="L83" s="105"/>
      <c r="M83" s="105"/>
      <c r="N83" s="105"/>
      <c r="O83" s="105">
        <f t="shared" si="15"/>
        <v>333000</v>
      </c>
    </row>
    <row r="84" spans="1:15" ht="16.5" customHeight="1" x14ac:dyDescent="0.15">
      <c r="A84" s="263"/>
      <c r="B84" s="171"/>
      <c r="C84" s="107"/>
      <c r="D84" s="107"/>
      <c r="E84" s="107">
        <v>1</v>
      </c>
      <c r="F84" s="107">
        <v>1</v>
      </c>
      <c r="G84" s="107">
        <v>1</v>
      </c>
      <c r="H84" s="107"/>
      <c r="I84" s="107"/>
      <c r="J84" s="107"/>
      <c r="K84" s="107"/>
      <c r="L84" s="107"/>
      <c r="M84" s="107"/>
      <c r="N84" s="107"/>
      <c r="O84" s="107"/>
    </row>
    <row r="85" spans="1:15" ht="16.5" customHeight="1" thickBot="1" x14ac:dyDescent="0.2">
      <c r="A85" s="263"/>
      <c r="B85" s="171" t="s">
        <v>161</v>
      </c>
      <c r="C85" s="107"/>
      <c r="D85" s="107"/>
      <c r="E85" s="107">
        <v>0</v>
      </c>
      <c r="F85" s="107">
        <v>0</v>
      </c>
      <c r="G85" s="107">
        <v>0</v>
      </c>
      <c r="H85" s="107"/>
      <c r="I85" s="107"/>
      <c r="J85" s="107"/>
      <c r="K85" s="107"/>
      <c r="L85" s="107"/>
      <c r="M85" s="107"/>
      <c r="N85" s="107"/>
      <c r="O85" s="168">
        <f>SUM(C85:N85)</f>
        <v>0</v>
      </c>
    </row>
    <row r="86" spans="1:15" ht="16.5" customHeight="1" thickTop="1" x14ac:dyDescent="0.15">
      <c r="A86" s="263"/>
      <c r="B86" s="169" t="s">
        <v>159</v>
      </c>
      <c r="C86" s="110"/>
      <c r="D86" s="110"/>
      <c r="E86" s="110">
        <v>15731</v>
      </c>
      <c r="F86" s="110">
        <v>107182</v>
      </c>
      <c r="G86" s="110">
        <v>85895</v>
      </c>
      <c r="H86" s="110" t="str">
        <f t="shared" ref="H86:M86" si="16">IF(H74="","",H74-SUM(H75:H82))</f>
        <v/>
      </c>
      <c r="I86" s="110" t="str">
        <f t="shared" si="16"/>
        <v/>
      </c>
      <c r="J86" s="110" t="str">
        <f t="shared" si="16"/>
        <v/>
      </c>
      <c r="K86" s="110" t="str">
        <f t="shared" si="16"/>
        <v/>
      </c>
      <c r="L86" s="110" t="str">
        <f t="shared" si="16"/>
        <v/>
      </c>
      <c r="M86" s="110" t="str">
        <f t="shared" si="16"/>
        <v/>
      </c>
      <c r="N86" s="110" t="str">
        <f>IF(N74="","",N74-SUM(N75:N82))</f>
        <v/>
      </c>
      <c r="O86" s="110">
        <f>IF(O74="","",O74-SUM(O75:O82))</f>
        <v>208808</v>
      </c>
    </row>
    <row r="87" spans="1:15" ht="16.5" customHeight="1" thickBot="1" x14ac:dyDescent="0.2">
      <c r="A87" s="264"/>
      <c r="B87" s="170" t="s">
        <v>160</v>
      </c>
      <c r="C87" s="112"/>
      <c r="D87" s="112"/>
      <c r="E87" s="112">
        <v>0.40674854557207496</v>
      </c>
      <c r="F87" s="112">
        <v>0.40676280834914613</v>
      </c>
      <c r="G87" s="112">
        <v>0.32545230652647533</v>
      </c>
      <c r="H87" s="112" t="str">
        <f t="shared" ref="H87:N87" si="17">IF(H74="","",IF(H74=0,"―     ",H86/H74))</f>
        <v/>
      </c>
      <c r="I87" s="112" t="str">
        <f t="shared" si="17"/>
        <v/>
      </c>
      <c r="J87" s="112" t="str">
        <f t="shared" si="17"/>
        <v/>
      </c>
      <c r="K87" s="112" t="str">
        <f t="shared" si="17"/>
        <v/>
      </c>
      <c r="L87" s="112" t="str">
        <f t="shared" si="17"/>
        <v/>
      </c>
      <c r="M87" s="112" t="str">
        <f t="shared" si="17"/>
        <v/>
      </c>
      <c r="N87" s="112" t="str">
        <f t="shared" si="17"/>
        <v/>
      </c>
      <c r="O87" s="112">
        <f>IF(O74="","",IF(O74=0,"―     ",O86/O74))</f>
        <v>0.36885355944179471</v>
      </c>
    </row>
    <row r="88" spans="1:15" ht="16.5" customHeight="1" x14ac:dyDescent="0.15">
      <c r="A88" s="251"/>
      <c r="B88" s="164" t="s">
        <v>21</v>
      </c>
      <c r="C88" s="102"/>
      <c r="D88" s="102"/>
      <c r="E88" s="102">
        <v>217325</v>
      </c>
      <c r="F88" s="102">
        <v>255677</v>
      </c>
      <c r="G88" s="102">
        <v>255677</v>
      </c>
      <c r="H88" s="102"/>
      <c r="I88" s="102"/>
      <c r="J88" s="102"/>
      <c r="K88" s="102"/>
      <c r="L88" s="102"/>
      <c r="M88" s="102"/>
      <c r="N88" s="102"/>
      <c r="O88" s="103">
        <f>SUM(C88:N88)</f>
        <v>728679</v>
      </c>
    </row>
    <row r="89" spans="1:15" ht="16.5" customHeight="1" x14ac:dyDescent="0.15">
      <c r="A89" s="263"/>
      <c r="B89" s="166" t="s">
        <v>155</v>
      </c>
      <c r="C89" s="105"/>
      <c r="D89" s="105"/>
      <c r="E89" s="105">
        <v>144925</v>
      </c>
      <c r="F89" s="105">
        <v>170500</v>
      </c>
      <c r="G89" s="105">
        <v>170500</v>
      </c>
      <c r="H89" s="105"/>
      <c r="I89" s="105"/>
      <c r="J89" s="105"/>
      <c r="K89" s="105"/>
      <c r="L89" s="105"/>
      <c r="M89" s="105"/>
      <c r="N89" s="105"/>
      <c r="O89" s="105">
        <f t="shared" ref="O89:O97" si="18">SUM(C89:N89)</f>
        <v>485925</v>
      </c>
    </row>
    <row r="90" spans="1:15" ht="16.5" customHeight="1" x14ac:dyDescent="0.15">
      <c r="A90" s="263"/>
      <c r="B90" s="166" t="s">
        <v>156</v>
      </c>
      <c r="C90" s="105"/>
      <c r="D90" s="105"/>
      <c r="E90" s="105">
        <v>0</v>
      </c>
      <c r="F90" s="105">
        <v>0</v>
      </c>
      <c r="G90" s="105">
        <v>0</v>
      </c>
      <c r="H90" s="105"/>
      <c r="I90" s="105"/>
      <c r="J90" s="105"/>
      <c r="K90" s="105"/>
      <c r="L90" s="105"/>
      <c r="M90" s="105"/>
      <c r="N90" s="105"/>
      <c r="O90" s="105">
        <f t="shared" si="18"/>
        <v>0</v>
      </c>
    </row>
    <row r="91" spans="1:15" ht="16.5" customHeight="1" x14ac:dyDescent="0.15">
      <c r="A91" s="263"/>
      <c r="B91" s="166" t="s">
        <v>26</v>
      </c>
      <c r="C91" s="105"/>
      <c r="D91" s="105"/>
      <c r="E91" s="105">
        <v>0</v>
      </c>
      <c r="F91" s="105">
        <v>0</v>
      </c>
      <c r="G91" s="105">
        <v>0</v>
      </c>
      <c r="H91" s="105"/>
      <c r="I91" s="105"/>
      <c r="J91" s="105"/>
      <c r="K91" s="105"/>
      <c r="L91" s="105"/>
      <c r="M91" s="105"/>
      <c r="N91" s="105"/>
      <c r="O91" s="105">
        <f t="shared" si="18"/>
        <v>0</v>
      </c>
    </row>
    <row r="92" spans="1:15" ht="16.5" customHeight="1" x14ac:dyDescent="0.15">
      <c r="A92" s="263"/>
      <c r="B92" s="166" t="s">
        <v>66</v>
      </c>
      <c r="C92" s="106"/>
      <c r="D92" s="105"/>
      <c r="E92" s="105">
        <v>0</v>
      </c>
      <c r="F92" s="105">
        <v>0</v>
      </c>
      <c r="G92" s="105">
        <v>0</v>
      </c>
      <c r="H92" s="105"/>
      <c r="I92" s="106"/>
      <c r="J92" s="106"/>
      <c r="K92" s="106"/>
      <c r="L92" s="106"/>
      <c r="M92" s="106"/>
      <c r="N92" s="106"/>
      <c r="O92" s="105">
        <f t="shared" si="18"/>
        <v>0</v>
      </c>
    </row>
    <row r="93" spans="1:15" ht="16.5" customHeight="1" x14ac:dyDescent="0.15">
      <c r="A93" s="263"/>
      <c r="B93" s="166" t="s">
        <v>22</v>
      </c>
      <c r="C93" s="105"/>
      <c r="D93" s="105"/>
      <c r="E93" s="105">
        <v>0</v>
      </c>
      <c r="F93" s="105">
        <v>9557</v>
      </c>
      <c r="G93" s="105">
        <v>9557</v>
      </c>
      <c r="H93" s="105"/>
      <c r="I93" s="105"/>
      <c r="J93" s="105"/>
      <c r="K93" s="105"/>
      <c r="L93" s="105"/>
      <c r="M93" s="105"/>
      <c r="N93" s="105"/>
      <c r="O93" s="105">
        <f t="shared" si="18"/>
        <v>19114</v>
      </c>
    </row>
    <row r="94" spans="1:15" ht="16.5" customHeight="1" x14ac:dyDescent="0.15">
      <c r="A94" s="263"/>
      <c r="B94" s="166" t="s">
        <v>67</v>
      </c>
      <c r="C94" s="105"/>
      <c r="D94" s="105"/>
      <c r="E94" s="105">
        <v>0</v>
      </c>
      <c r="F94" s="105">
        <v>1472</v>
      </c>
      <c r="G94" s="105">
        <v>1472</v>
      </c>
      <c r="H94" s="105"/>
      <c r="I94" s="105"/>
      <c r="J94" s="105"/>
      <c r="K94" s="105"/>
      <c r="L94" s="105"/>
      <c r="M94" s="105"/>
      <c r="N94" s="105"/>
      <c r="O94" s="105">
        <f t="shared" si="18"/>
        <v>2944</v>
      </c>
    </row>
    <row r="95" spans="1:15" ht="16.5" customHeight="1" x14ac:dyDescent="0.15">
      <c r="A95" s="263"/>
      <c r="B95" s="166" t="s">
        <v>23</v>
      </c>
      <c r="C95" s="105"/>
      <c r="D95" s="105"/>
      <c r="E95" s="105">
        <v>0</v>
      </c>
      <c r="F95" s="105">
        <v>15928</v>
      </c>
      <c r="G95" s="105">
        <v>15928</v>
      </c>
      <c r="H95" s="105"/>
      <c r="I95" s="105"/>
      <c r="J95" s="105"/>
      <c r="K95" s="105"/>
      <c r="L95" s="105"/>
      <c r="M95" s="105"/>
      <c r="N95" s="105"/>
      <c r="O95" s="105">
        <f t="shared" si="18"/>
        <v>31856</v>
      </c>
    </row>
    <row r="96" spans="1:15" ht="16.5" customHeight="1" x14ac:dyDescent="0.15">
      <c r="A96" s="263"/>
      <c r="B96" s="166" t="s">
        <v>157</v>
      </c>
      <c r="C96" s="105"/>
      <c r="D96" s="105"/>
      <c r="E96" s="105">
        <v>0</v>
      </c>
      <c r="F96" s="105">
        <v>1448</v>
      </c>
      <c r="G96" s="105">
        <v>1448</v>
      </c>
      <c r="H96" s="105"/>
      <c r="I96" s="105"/>
      <c r="J96" s="105"/>
      <c r="K96" s="105"/>
      <c r="L96" s="105"/>
      <c r="M96" s="105"/>
      <c r="N96" s="105"/>
      <c r="O96" s="105">
        <f t="shared" si="18"/>
        <v>2896</v>
      </c>
    </row>
    <row r="97" spans="1:15" ht="16.5" customHeight="1" x14ac:dyDescent="0.15">
      <c r="A97" s="263"/>
      <c r="B97" s="166" t="s">
        <v>158</v>
      </c>
      <c r="C97" s="105"/>
      <c r="D97" s="105"/>
      <c r="E97" s="105">
        <v>144925</v>
      </c>
      <c r="F97" s="105">
        <v>170500</v>
      </c>
      <c r="G97" s="105">
        <v>170500</v>
      </c>
      <c r="H97" s="105"/>
      <c r="I97" s="105"/>
      <c r="J97" s="105"/>
      <c r="K97" s="105"/>
      <c r="L97" s="105"/>
      <c r="M97" s="105"/>
      <c r="N97" s="105"/>
      <c r="O97" s="105">
        <f t="shared" si="18"/>
        <v>485925</v>
      </c>
    </row>
    <row r="98" spans="1:15" ht="16.5" customHeight="1" x14ac:dyDescent="0.15">
      <c r="A98" s="263"/>
      <c r="B98" s="171"/>
      <c r="C98" s="107"/>
      <c r="D98" s="107"/>
      <c r="E98" s="107">
        <v>2</v>
      </c>
      <c r="F98" s="107">
        <v>1</v>
      </c>
      <c r="G98" s="107">
        <v>1</v>
      </c>
      <c r="H98" s="107"/>
      <c r="I98" s="107"/>
      <c r="J98" s="107"/>
      <c r="K98" s="107"/>
      <c r="L98" s="107"/>
      <c r="M98" s="107"/>
      <c r="N98" s="107"/>
      <c r="O98" s="107"/>
    </row>
    <row r="99" spans="1:15" ht="16.5" customHeight="1" thickBot="1" x14ac:dyDescent="0.2">
      <c r="A99" s="263"/>
      <c r="B99" s="171" t="s">
        <v>161</v>
      </c>
      <c r="C99" s="107"/>
      <c r="D99" s="107"/>
      <c r="E99" s="107">
        <v>0</v>
      </c>
      <c r="F99" s="107">
        <v>0</v>
      </c>
      <c r="G99" s="107">
        <v>0</v>
      </c>
      <c r="H99" s="107"/>
      <c r="I99" s="107"/>
      <c r="J99" s="107"/>
      <c r="K99" s="107"/>
      <c r="L99" s="107"/>
      <c r="M99" s="107"/>
      <c r="N99" s="107"/>
      <c r="O99" s="168">
        <f>SUM(C99:N99)</f>
        <v>0</v>
      </c>
    </row>
    <row r="100" spans="1:15" ht="16.5" customHeight="1" thickTop="1" x14ac:dyDescent="0.15">
      <c r="A100" s="263"/>
      <c r="B100" s="169" t="s">
        <v>159</v>
      </c>
      <c r="C100" s="110"/>
      <c r="D100" s="110"/>
      <c r="E100" s="110">
        <v>72400</v>
      </c>
      <c r="F100" s="110">
        <v>56772</v>
      </c>
      <c r="G100" s="110">
        <v>56772</v>
      </c>
      <c r="H100" s="110" t="str">
        <f t="shared" ref="H100:M100" si="19">IF(H88="","",H88-SUM(H89:H96))</f>
        <v/>
      </c>
      <c r="I100" s="110" t="str">
        <f t="shared" si="19"/>
        <v/>
      </c>
      <c r="J100" s="110" t="str">
        <f t="shared" si="19"/>
        <v/>
      </c>
      <c r="K100" s="110" t="str">
        <f t="shared" si="19"/>
        <v/>
      </c>
      <c r="L100" s="110" t="str">
        <f t="shared" si="19"/>
        <v/>
      </c>
      <c r="M100" s="110" t="str">
        <f t="shared" si="19"/>
        <v/>
      </c>
      <c r="N100" s="110" t="str">
        <f>IF(N88="","",N88-SUM(N89:N96))</f>
        <v/>
      </c>
      <c r="O100" s="110">
        <f>IF(O88="","",O88-SUM(O89:O96))</f>
        <v>185944</v>
      </c>
    </row>
    <row r="101" spans="1:15" ht="16.5" customHeight="1" thickBot="1" x14ac:dyDescent="0.2">
      <c r="A101" s="264"/>
      <c r="B101" s="170" t="s">
        <v>160</v>
      </c>
      <c r="C101" s="112"/>
      <c r="D101" s="112"/>
      <c r="E101" s="112">
        <v>0.3331416081904981</v>
      </c>
      <c r="F101" s="112">
        <v>0.22204578432944691</v>
      </c>
      <c r="G101" s="112">
        <v>0.22204578432944691</v>
      </c>
      <c r="H101" s="112" t="str">
        <f t="shared" ref="H101:N101" si="20">IF(H88="","",IF(H88=0,"―     ",H100/H88))</f>
        <v/>
      </c>
      <c r="I101" s="112" t="str">
        <f t="shared" si="20"/>
        <v/>
      </c>
      <c r="J101" s="112" t="str">
        <f t="shared" si="20"/>
        <v/>
      </c>
      <c r="K101" s="112" t="str">
        <f t="shared" si="20"/>
        <v/>
      </c>
      <c r="L101" s="112" t="str">
        <f t="shared" si="20"/>
        <v/>
      </c>
      <c r="M101" s="112" t="str">
        <f t="shared" si="20"/>
        <v/>
      </c>
      <c r="N101" s="112" t="str">
        <f t="shared" si="20"/>
        <v/>
      </c>
      <c r="O101" s="112">
        <f>IF(O88="","",IF(O88=0,"―     ",O100/O88))</f>
        <v>0.25517957838774002</v>
      </c>
    </row>
    <row r="102" spans="1:15" ht="16.5" customHeight="1" x14ac:dyDescent="0.15">
      <c r="A102" s="265" t="s">
        <v>217</v>
      </c>
      <c r="B102" s="164" t="s">
        <v>192</v>
      </c>
      <c r="C102" s="102">
        <v>29333465</v>
      </c>
      <c r="D102" s="102">
        <v>29333965</v>
      </c>
      <c r="E102" s="208">
        <v>29339465</v>
      </c>
      <c r="F102" s="102">
        <v>29339965</v>
      </c>
      <c r="G102" s="102">
        <v>29341465</v>
      </c>
      <c r="H102" s="102">
        <v>28536715</v>
      </c>
      <c r="I102" s="102">
        <v>28547715</v>
      </c>
      <c r="J102" s="102">
        <v>28536715</v>
      </c>
      <c r="K102" s="102">
        <v>28548215</v>
      </c>
      <c r="L102" s="102">
        <v>28548215</v>
      </c>
      <c r="M102" s="102">
        <v>28549215</v>
      </c>
      <c r="N102" s="102">
        <v>28522215</v>
      </c>
      <c r="O102" s="103">
        <f>SUM(C102:N102)</f>
        <v>346477330</v>
      </c>
    </row>
    <row r="103" spans="1:15" ht="16.5" customHeight="1" x14ac:dyDescent="0.15">
      <c r="A103" s="266"/>
      <c r="B103" s="166" t="s">
        <v>193</v>
      </c>
      <c r="C103" s="105">
        <v>16562272</v>
      </c>
      <c r="D103" s="105">
        <v>16310501</v>
      </c>
      <c r="E103" s="206">
        <v>16063104</v>
      </c>
      <c r="F103" s="105">
        <v>15881298</v>
      </c>
      <c r="G103" s="105">
        <v>15346208</v>
      </c>
      <c r="H103" s="105">
        <v>14827361</v>
      </c>
      <c r="I103" s="105">
        <v>15075739</v>
      </c>
      <c r="J103" s="105">
        <v>14844432</v>
      </c>
      <c r="K103" s="105">
        <v>15263985</v>
      </c>
      <c r="L103" s="105">
        <v>15578564</v>
      </c>
      <c r="M103" s="105">
        <v>15424454</v>
      </c>
      <c r="N103" s="105">
        <v>16133626</v>
      </c>
      <c r="O103" s="105">
        <f t="shared" ref="O103:O111" si="21">SUM(C103:N103)</f>
        <v>187311544</v>
      </c>
    </row>
    <row r="104" spans="1:15" ht="16.5" customHeight="1" x14ac:dyDescent="0.15">
      <c r="A104" s="266"/>
      <c r="B104" s="166" t="s">
        <v>194</v>
      </c>
      <c r="C104" s="105">
        <v>833890</v>
      </c>
      <c r="D104" s="105">
        <v>1066930</v>
      </c>
      <c r="E104" s="207">
        <v>735090</v>
      </c>
      <c r="F104" s="105">
        <v>790144</v>
      </c>
      <c r="G104" s="105">
        <v>806851</v>
      </c>
      <c r="H104" s="105">
        <v>726970</v>
      </c>
      <c r="I104" s="105">
        <v>721970</v>
      </c>
      <c r="J104" s="105">
        <v>721120</v>
      </c>
      <c r="K104" s="105">
        <v>702120</v>
      </c>
      <c r="L104" s="105">
        <v>705120</v>
      </c>
      <c r="M104" s="105">
        <v>1176090</v>
      </c>
      <c r="N104" s="105">
        <v>944550</v>
      </c>
      <c r="O104" s="105">
        <f t="shared" si="21"/>
        <v>9930845</v>
      </c>
    </row>
    <row r="105" spans="1:15" ht="16.5" customHeight="1" x14ac:dyDescent="0.15">
      <c r="A105" s="266"/>
      <c r="B105" s="166" t="s">
        <v>195</v>
      </c>
      <c r="C105" s="105">
        <v>1196103</v>
      </c>
      <c r="D105" s="105">
        <v>1231412</v>
      </c>
      <c r="E105" s="207">
        <v>1193791</v>
      </c>
      <c r="F105" s="105">
        <v>1207503</v>
      </c>
      <c r="G105" s="105">
        <v>1160834</v>
      </c>
      <c r="H105" s="105">
        <v>1113194</v>
      </c>
      <c r="I105" s="105">
        <v>1083289</v>
      </c>
      <c r="J105" s="105">
        <v>1078508</v>
      </c>
      <c r="K105" s="105">
        <v>1113453</v>
      </c>
      <c r="L105" s="105">
        <v>1125905</v>
      </c>
      <c r="M105" s="105">
        <v>1079322</v>
      </c>
      <c r="N105" s="105">
        <v>1110353</v>
      </c>
      <c r="O105" s="105">
        <f t="shared" si="21"/>
        <v>13693667</v>
      </c>
    </row>
    <row r="106" spans="1:15" ht="16.5" customHeight="1" x14ac:dyDescent="0.15">
      <c r="A106" s="266"/>
      <c r="B106" s="166" t="s">
        <v>196</v>
      </c>
      <c r="C106" s="106">
        <v>2371520</v>
      </c>
      <c r="D106" s="105">
        <v>2745504</v>
      </c>
      <c r="E106" s="207">
        <v>2447670</v>
      </c>
      <c r="F106" s="105">
        <v>2516538</v>
      </c>
      <c r="G106" s="105">
        <v>2731100</v>
      </c>
      <c r="H106" s="105">
        <v>2783060</v>
      </c>
      <c r="I106" s="106">
        <v>2543005</v>
      </c>
      <c r="J106" s="106">
        <v>2695976</v>
      </c>
      <c r="K106" s="106">
        <v>2587394</v>
      </c>
      <c r="L106" s="106">
        <v>2358675</v>
      </c>
      <c r="M106" s="106">
        <v>2462820</v>
      </c>
      <c r="N106" s="106">
        <v>2237393</v>
      </c>
      <c r="O106" s="105">
        <f t="shared" si="21"/>
        <v>30480655</v>
      </c>
    </row>
    <row r="107" spans="1:15" ht="16.5" customHeight="1" x14ac:dyDescent="0.15">
      <c r="A107" s="266"/>
      <c r="B107" s="166" t="s">
        <v>197</v>
      </c>
      <c r="C107" s="105">
        <v>935537</v>
      </c>
      <c r="D107" s="105">
        <v>908821</v>
      </c>
      <c r="E107" s="207">
        <v>879203</v>
      </c>
      <c r="F107" s="105">
        <v>908841</v>
      </c>
      <c r="G107" s="105">
        <v>891588</v>
      </c>
      <c r="H107" s="105">
        <v>849379</v>
      </c>
      <c r="I107" s="105">
        <v>861643</v>
      </c>
      <c r="J107" s="105">
        <v>857922</v>
      </c>
      <c r="K107" s="105">
        <v>935083</v>
      </c>
      <c r="L107" s="105">
        <v>930995</v>
      </c>
      <c r="M107" s="105">
        <v>922819</v>
      </c>
      <c r="N107" s="105">
        <v>936105</v>
      </c>
      <c r="O107" s="105">
        <f t="shared" si="21"/>
        <v>10817936</v>
      </c>
    </row>
    <row r="108" spans="1:15" ht="16.5" customHeight="1" x14ac:dyDescent="0.15">
      <c r="A108" s="266"/>
      <c r="B108" s="166" t="s">
        <v>198</v>
      </c>
      <c r="C108" s="105">
        <v>88199</v>
      </c>
      <c r="D108" s="105">
        <v>80959</v>
      </c>
      <c r="E108" s="207">
        <v>77079</v>
      </c>
      <c r="F108" s="105">
        <v>77079</v>
      </c>
      <c r="G108" s="105">
        <v>80113</v>
      </c>
      <c r="H108" s="105">
        <v>76538</v>
      </c>
      <c r="I108" s="105">
        <v>77030</v>
      </c>
      <c r="J108" s="105">
        <v>78778</v>
      </c>
      <c r="K108" s="105">
        <v>90586</v>
      </c>
      <c r="L108" s="105">
        <v>91406</v>
      </c>
      <c r="M108" s="105">
        <v>87716</v>
      </c>
      <c r="N108" s="105">
        <v>91078</v>
      </c>
      <c r="O108" s="105">
        <f t="shared" si="21"/>
        <v>996561</v>
      </c>
    </row>
    <row r="109" spans="1:15" ht="16.5" customHeight="1" x14ac:dyDescent="0.15">
      <c r="A109" s="266"/>
      <c r="B109" s="166" t="s">
        <v>199</v>
      </c>
      <c r="C109" s="105">
        <v>1663792</v>
      </c>
      <c r="D109" s="105">
        <v>1627456</v>
      </c>
      <c r="E109" s="207">
        <v>1574305</v>
      </c>
      <c r="F109" s="105">
        <v>1627375</v>
      </c>
      <c r="G109" s="105">
        <v>1596482</v>
      </c>
      <c r="H109" s="105">
        <v>1520903</v>
      </c>
      <c r="I109" s="105">
        <v>1542863</v>
      </c>
      <c r="J109" s="105">
        <v>1536202</v>
      </c>
      <c r="K109" s="105">
        <v>1674367</v>
      </c>
      <c r="L109" s="105">
        <v>1667047</v>
      </c>
      <c r="M109" s="105">
        <v>1652407</v>
      </c>
      <c r="N109" s="105">
        <v>1676197</v>
      </c>
      <c r="O109" s="105">
        <f t="shared" si="21"/>
        <v>19359396</v>
      </c>
    </row>
    <row r="110" spans="1:15" ht="16.5" customHeight="1" x14ac:dyDescent="0.15">
      <c r="A110" s="266"/>
      <c r="B110" s="166" t="s">
        <v>200</v>
      </c>
      <c r="C110" s="105">
        <v>159026</v>
      </c>
      <c r="D110" s="105">
        <v>115442</v>
      </c>
      <c r="E110" s="207">
        <v>112914</v>
      </c>
      <c r="F110" s="105">
        <v>112922</v>
      </c>
      <c r="G110" s="105">
        <v>110614</v>
      </c>
      <c r="H110" s="105">
        <v>106504</v>
      </c>
      <c r="I110" s="105">
        <v>105350</v>
      </c>
      <c r="J110" s="105">
        <v>149287</v>
      </c>
      <c r="K110" s="105">
        <v>150841</v>
      </c>
      <c r="L110" s="105">
        <v>151910</v>
      </c>
      <c r="M110" s="105">
        <v>153876</v>
      </c>
      <c r="N110" s="105">
        <v>152713</v>
      </c>
      <c r="O110" s="105">
        <f t="shared" si="21"/>
        <v>1581399</v>
      </c>
    </row>
    <row r="111" spans="1:15" ht="16.5" customHeight="1" x14ac:dyDescent="0.15">
      <c r="A111" s="266"/>
      <c r="B111" s="166" t="s">
        <v>201</v>
      </c>
      <c r="C111" s="105">
        <v>20963785</v>
      </c>
      <c r="D111" s="105">
        <v>21354347</v>
      </c>
      <c r="E111" s="206">
        <v>20439655</v>
      </c>
      <c r="F111" s="105">
        <v>20395483</v>
      </c>
      <c r="G111" s="105">
        <v>20044993</v>
      </c>
      <c r="H111" s="105">
        <v>19450585</v>
      </c>
      <c r="I111" s="105">
        <v>19424003</v>
      </c>
      <c r="J111" s="105">
        <v>19340036</v>
      </c>
      <c r="K111" s="105">
        <v>19666952</v>
      </c>
      <c r="L111" s="105">
        <v>19768264</v>
      </c>
      <c r="M111" s="105">
        <v>20142686</v>
      </c>
      <c r="N111" s="105">
        <v>20425922</v>
      </c>
      <c r="O111" s="105">
        <f t="shared" si="21"/>
        <v>241416711</v>
      </c>
    </row>
    <row r="112" spans="1:15" ht="16.5" customHeight="1" x14ac:dyDescent="0.15">
      <c r="A112" s="266"/>
      <c r="B112" s="171" t="s">
        <v>202</v>
      </c>
      <c r="C112" s="107">
        <v>110</v>
      </c>
      <c r="D112" s="107">
        <v>113</v>
      </c>
      <c r="E112" s="205">
        <v>111</v>
      </c>
      <c r="F112" s="107">
        <v>110</v>
      </c>
      <c r="G112" s="107">
        <v>108</v>
      </c>
      <c r="H112" s="107">
        <v>105</v>
      </c>
      <c r="I112" s="107">
        <v>108</v>
      </c>
      <c r="J112" s="107">
        <v>106</v>
      </c>
      <c r="K112" s="107">
        <v>109</v>
      </c>
      <c r="L112" s="107">
        <v>112</v>
      </c>
      <c r="M112" s="107">
        <v>113</v>
      </c>
      <c r="N112" s="107">
        <v>114</v>
      </c>
      <c r="O112" s="107"/>
    </row>
    <row r="113" spans="1:15" ht="16.5" customHeight="1" thickBot="1" x14ac:dyDescent="0.2">
      <c r="A113" s="266"/>
      <c r="B113" s="171" t="s">
        <v>203</v>
      </c>
      <c r="C113" s="107">
        <v>146.5</v>
      </c>
      <c r="D113" s="107">
        <v>119</v>
      </c>
      <c r="E113" s="204">
        <v>92.5</v>
      </c>
      <c r="F113" s="107">
        <v>62</v>
      </c>
      <c r="G113" s="107">
        <v>120</v>
      </c>
      <c r="H113" s="107">
        <v>46.5</v>
      </c>
      <c r="I113" s="107">
        <v>98.5</v>
      </c>
      <c r="J113" s="107">
        <v>81.5</v>
      </c>
      <c r="K113" s="107">
        <v>86</v>
      </c>
      <c r="L113" s="107">
        <v>125.5</v>
      </c>
      <c r="M113" s="107">
        <v>153.5</v>
      </c>
      <c r="N113" s="107">
        <v>124</v>
      </c>
      <c r="O113" s="168">
        <f>SUM(C113:N113)</f>
        <v>1255.5</v>
      </c>
    </row>
    <row r="114" spans="1:15" ht="16.5" customHeight="1" thickTop="1" x14ac:dyDescent="0.15">
      <c r="A114" s="266"/>
      <c r="B114" s="169" t="s">
        <v>204</v>
      </c>
      <c r="C114" s="110">
        <v>5523126</v>
      </c>
      <c r="D114" s="110">
        <v>5246940</v>
      </c>
      <c r="E114" s="203">
        <v>6256309</v>
      </c>
      <c r="F114" s="110">
        <v>6218265</v>
      </c>
      <c r="G114" s="110">
        <v>6617675</v>
      </c>
      <c r="H114" s="110">
        <v>6532806</v>
      </c>
      <c r="I114" s="110">
        <v>6536826</v>
      </c>
      <c r="J114" s="110">
        <v>6574490</v>
      </c>
      <c r="K114" s="110">
        <v>6030386</v>
      </c>
      <c r="L114" s="110">
        <v>5938593</v>
      </c>
      <c r="M114" s="110">
        <v>5589711</v>
      </c>
      <c r="N114" s="110">
        <v>5240200</v>
      </c>
      <c r="O114" s="110">
        <f>IF(O102="","",O102-SUM(O103:O110))</f>
        <v>72305327</v>
      </c>
    </row>
    <row r="115" spans="1:15" ht="16.5" customHeight="1" thickBot="1" x14ac:dyDescent="0.2">
      <c r="A115" s="267"/>
      <c r="B115" s="170" t="s">
        <v>205</v>
      </c>
      <c r="C115" s="112">
        <v>0.18828754120933208</v>
      </c>
      <c r="D115" s="112">
        <v>0.17886910276193485</v>
      </c>
      <c r="E115" s="202">
        <v>0.21323868720850908</v>
      </c>
      <c r="F115" s="112">
        <v>0.21193839188288058</v>
      </c>
      <c r="G115" s="112">
        <v>0.22554003353274965</v>
      </c>
      <c r="H115" s="112">
        <v>0.22892634979183835</v>
      </c>
      <c r="I115" s="112">
        <v>0.22897895680967811</v>
      </c>
      <c r="J115" s="112">
        <v>0.23038706452371971</v>
      </c>
      <c r="K115" s="112">
        <v>0.2112351332648994</v>
      </c>
      <c r="L115" s="112">
        <v>0.20801976585926651</v>
      </c>
      <c r="M115" s="112">
        <v>0.19579210846953235</v>
      </c>
      <c r="N115" s="112">
        <v>0.18372345906515325</v>
      </c>
      <c r="O115" s="112">
        <f>IF(O102="","",IF(O102=0,"―     ",O114/O102))</f>
        <v>0.20868703588774482</v>
      </c>
    </row>
    <row r="116" spans="1:15" ht="16.5" customHeight="1" x14ac:dyDescent="0.15">
      <c r="A116" s="265" t="s">
        <v>218</v>
      </c>
      <c r="B116" s="164" t="s">
        <v>21</v>
      </c>
      <c r="C116" s="102">
        <v>6057304</v>
      </c>
      <c r="D116" s="102">
        <v>6787370</v>
      </c>
      <c r="E116" s="208">
        <v>6837322</v>
      </c>
      <c r="F116" s="102">
        <v>6324255</v>
      </c>
      <c r="G116" s="102">
        <v>6510492</v>
      </c>
      <c r="H116" s="102">
        <v>5158948</v>
      </c>
      <c r="I116" s="102">
        <v>5088651</v>
      </c>
      <c r="J116" s="102">
        <v>4736255</v>
      </c>
      <c r="K116" s="102">
        <v>4829504</v>
      </c>
      <c r="L116" s="102">
        <v>4803349</v>
      </c>
      <c r="M116" s="102">
        <v>5005424</v>
      </c>
      <c r="N116" s="102">
        <v>4606630</v>
      </c>
      <c r="O116" s="103">
        <f>SUM(C116:N116)</f>
        <v>66745504</v>
      </c>
    </row>
    <row r="117" spans="1:15" ht="16.5" customHeight="1" x14ac:dyDescent="0.15">
      <c r="A117" s="266"/>
      <c r="B117" s="166" t="s">
        <v>155</v>
      </c>
      <c r="C117" s="105">
        <v>3567500</v>
      </c>
      <c r="D117" s="105">
        <v>3478812</v>
      </c>
      <c r="E117" s="206">
        <v>3880169</v>
      </c>
      <c r="F117" s="105">
        <v>3733361</v>
      </c>
      <c r="G117" s="105">
        <v>3749630</v>
      </c>
      <c r="H117" s="105">
        <v>3001699</v>
      </c>
      <c r="I117" s="105">
        <v>2926397</v>
      </c>
      <c r="J117" s="105">
        <v>2859730</v>
      </c>
      <c r="K117" s="105">
        <v>2893320</v>
      </c>
      <c r="L117" s="105">
        <v>2893320</v>
      </c>
      <c r="M117" s="105">
        <v>2909511</v>
      </c>
      <c r="N117" s="105">
        <v>2615344</v>
      </c>
      <c r="O117" s="105">
        <f t="shared" ref="O117:O125" si="22">SUM(C117:N117)</f>
        <v>38508793</v>
      </c>
    </row>
    <row r="118" spans="1:15" ht="16.5" customHeight="1" x14ac:dyDescent="0.15">
      <c r="A118" s="266"/>
      <c r="B118" s="166" t="s">
        <v>156</v>
      </c>
      <c r="C118" s="105">
        <v>676691</v>
      </c>
      <c r="D118" s="105">
        <v>676691</v>
      </c>
      <c r="E118" s="207">
        <v>676301</v>
      </c>
      <c r="F118" s="105">
        <v>677768</v>
      </c>
      <c r="G118" s="105">
        <v>1117601</v>
      </c>
      <c r="H118" s="105">
        <v>531705</v>
      </c>
      <c r="I118" s="105">
        <v>535675</v>
      </c>
      <c r="J118" s="105">
        <v>535675</v>
      </c>
      <c r="K118" s="105">
        <v>535675</v>
      </c>
      <c r="L118" s="105">
        <v>535675</v>
      </c>
      <c r="M118" s="105">
        <v>535675</v>
      </c>
      <c r="N118" s="105">
        <v>535675</v>
      </c>
      <c r="O118" s="105">
        <f t="shared" si="22"/>
        <v>7570807</v>
      </c>
    </row>
    <row r="119" spans="1:15" ht="16.5" customHeight="1" x14ac:dyDescent="0.15">
      <c r="A119" s="266"/>
      <c r="B119" s="166" t="s">
        <v>26</v>
      </c>
      <c r="C119" s="105">
        <v>290467</v>
      </c>
      <c r="D119" s="105">
        <v>273208</v>
      </c>
      <c r="E119" s="207">
        <v>331558</v>
      </c>
      <c r="F119" s="105">
        <v>270316</v>
      </c>
      <c r="G119" s="105">
        <v>242777</v>
      </c>
      <c r="H119" s="105">
        <v>192374</v>
      </c>
      <c r="I119" s="105">
        <v>176739</v>
      </c>
      <c r="J119" s="105">
        <v>176739</v>
      </c>
      <c r="K119" s="105">
        <v>187350</v>
      </c>
      <c r="L119" s="105">
        <v>186464</v>
      </c>
      <c r="M119" s="105">
        <v>186464</v>
      </c>
      <c r="N119" s="105">
        <v>198106</v>
      </c>
      <c r="O119" s="105">
        <f t="shared" si="22"/>
        <v>2712562</v>
      </c>
    </row>
    <row r="120" spans="1:15" ht="16.5" customHeight="1" x14ac:dyDescent="0.15">
      <c r="A120" s="266"/>
      <c r="B120" s="166" t="s">
        <v>66</v>
      </c>
      <c r="C120" s="106">
        <v>338677</v>
      </c>
      <c r="D120" s="105">
        <v>354381</v>
      </c>
      <c r="E120" s="207">
        <v>317697</v>
      </c>
      <c r="F120" s="105">
        <v>290671</v>
      </c>
      <c r="G120" s="105">
        <v>281504</v>
      </c>
      <c r="H120" s="105">
        <v>203401</v>
      </c>
      <c r="I120" s="106">
        <v>210865</v>
      </c>
      <c r="J120" s="106">
        <v>165178</v>
      </c>
      <c r="K120" s="106">
        <v>152340</v>
      </c>
      <c r="L120" s="106">
        <v>154724</v>
      </c>
      <c r="M120" s="106">
        <v>179615</v>
      </c>
      <c r="N120" s="106">
        <v>117566</v>
      </c>
      <c r="O120" s="105">
        <f t="shared" si="22"/>
        <v>2766619</v>
      </c>
    </row>
    <row r="121" spans="1:15" ht="16.5" customHeight="1" x14ac:dyDescent="0.15">
      <c r="A121" s="266"/>
      <c r="B121" s="166" t="s">
        <v>22</v>
      </c>
      <c r="C121" s="105">
        <v>251589</v>
      </c>
      <c r="D121" s="105">
        <v>240170</v>
      </c>
      <c r="E121" s="207">
        <v>240170</v>
      </c>
      <c r="F121" s="105">
        <v>240170</v>
      </c>
      <c r="G121" s="105">
        <v>240170</v>
      </c>
      <c r="H121" s="105">
        <v>190092</v>
      </c>
      <c r="I121" s="105">
        <v>179872</v>
      </c>
      <c r="J121" s="105">
        <v>177317</v>
      </c>
      <c r="K121" s="105">
        <v>173229</v>
      </c>
      <c r="L121" s="105">
        <v>173229</v>
      </c>
      <c r="M121" s="105">
        <v>173229</v>
      </c>
      <c r="N121" s="105">
        <v>185493</v>
      </c>
      <c r="O121" s="105">
        <f t="shared" si="22"/>
        <v>2464730</v>
      </c>
    </row>
    <row r="122" spans="1:15" ht="16.5" customHeight="1" x14ac:dyDescent="0.15">
      <c r="A122" s="266"/>
      <c r="B122" s="166" t="s">
        <v>67</v>
      </c>
      <c r="C122" s="105">
        <v>27450</v>
      </c>
      <c r="D122" s="105">
        <v>25010</v>
      </c>
      <c r="E122" s="207">
        <v>25010</v>
      </c>
      <c r="F122" s="105">
        <v>25010</v>
      </c>
      <c r="G122" s="105">
        <v>25010</v>
      </c>
      <c r="H122" s="105">
        <v>18778</v>
      </c>
      <c r="I122" s="105">
        <v>20336</v>
      </c>
      <c r="J122" s="105">
        <v>20008</v>
      </c>
      <c r="K122" s="105">
        <v>20008</v>
      </c>
      <c r="L122" s="105">
        <v>20008</v>
      </c>
      <c r="M122" s="105">
        <v>20008</v>
      </c>
      <c r="N122" s="105">
        <v>21976</v>
      </c>
      <c r="O122" s="105">
        <f t="shared" si="22"/>
        <v>268612</v>
      </c>
    </row>
    <row r="123" spans="1:15" ht="16.5" customHeight="1" x14ac:dyDescent="0.15">
      <c r="A123" s="266"/>
      <c r="B123" s="166" t="s">
        <v>23</v>
      </c>
      <c r="C123" s="105">
        <v>447435</v>
      </c>
      <c r="D123" s="105">
        <v>430050</v>
      </c>
      <c r="E123" s="207">
        <v>430050</v>
      </c>
      <c r="F123" s="105">
        <v>430050</v>
      </c>
      <c r="G123" s="105">
        <v>430050</v>
      </c>
      <c r="H123" s="105">
        <v>340380</v>
      </c>
      <c r="I123" s="105">
        <v>322080</v>
      </c>
      <c r="J123" s="105">
        <v>317505</v>
      </c>
      <c r="K123" s="105">
        <v>310185</v>
      </c>
      <c r="L123" s="105">
        <v>310185</v>
      </c>
      <c r="M123" s="105">
        <v>310185</v>
      </c>
      <c r="N123" s="105">
        <v>332145</v>
      </c>
      <c r="O123" s="105">
        <f t="shared" si="22"/>
        <v>4410300</v>
      </c>
    </row>
    <row r="124" spans="1:15" ht="16.5" customHeight="1" x14ac:dyDescent="0.15">
      <c r="A124" s="266"/>
      <c r="B124" s="166" t="s">
        <v>157</v>
      </c>
      <c r="C124" s="105">
        <v>28988</v>
      </c>
      <c r="D124" s="105">
        <v>28448</v>
      </c>
      <c r="E124" s="207">
        <v>27828</v>
      </c>
      <c r="F124" s="105">
        <v>27492</v>
      </c>
      <c r="G124" s="105">
        <v>27360</v>
      </c>
      <c r="H124" s="105">
        <v>21234</v>
      </c>
      <c r="I124" s="105">
        <v>20756</v>
      </c>
      <c r="J124" s="105">
        <v>28455</v>
      </c>
      <c r="K124" s="105">
        <v>28636</v>
      </c>
      <c r="L124" s="105">
        <v>28646</v>
      </c>
      <c r="M124" s="105">
        <v>28999</v>
      </c>
      <c r="N124" s="105">
        <v>29467</v>
      </c>
      <c r="O124" s="105">
        <f t="shared" si="22"/>
        <v>326309</v>
      </c>
    </row>
    <row r="125" spans="1:15" ht="16.5" customHeight="1" x14ac:dyDescent="0.15">
      <c r="A125" s="266"/>
      <c r="B125" s="166" t="s">
        <v>158</v>
      </c>
      <c r="C125" s="105">
        <v>4873335</v>
      </c>
      <c r="D125" s="105">
        <v>4783092</v>
      </c>
      <c r="E125" s="206">
        <v>5205725</v>
      </c>
      <c r="F125" s="105">
        <v>4972116</v>
      </c>
      <c r="G125" s="105">
        <v>5391512</v>
      </c>
      <c r="H125" s="105">
        <v>3929179</v>
      </c>
      <c r="I125" s="105">
        <v>3849676</v>
      </c>
      <c r="J125" s="105">
        <v>3737322</v>
      </c>
      <c r="K125" s="105">
        <v>3768685</v>
      </c>
      <c r="L125" s="105">
        <v>3770183</v>
      </c>
      <c r="M125" s="105">
        <v>3811265</v>
      </c>
      <c r="N125" s="105">
        <v>3466691</v>
      </c>
      <c r="O125" s="105">
        <f t="shared" si="22"/>
        <v>51558781</v>
      </c>
    </row>
    <row r="126" spans="1:15" ht="16.5" customHeight="1" x14ac:dyDescent="0.15">
      <c r="A126" s="266"/>
      <c r="B126" s="171" t="s">
        <v>202</v>
      </c>
      <c r="C126" s="107">
        <v>21</v>
      </c>
      <c r="D126" s="107">
        <v>20</v>
      </c>
      <c r="E126" s="205">
        <v>21</v>
      </c>
      <c r="F126" s="107">
        <v>20</v>
      </c>
      <c r="G126" s="107">
        <v>20</v>
      </c>
      <c r="H126" s="107">
        <v>15</v>
      </c>
      <c r="I126" s="107">
        <v>14</v>
      </c>
      <c r="J126" s="107">
        <v>14</v>
      </c>
      <c r="K126" s="107">
        <v>14</v>
      </c>
      <c r="L126" s="107">
        <v>14</v>
      </c>
      <c r="M126" s="107">
        <v>14</v>
      </c>
      <c r="N126" s="107">
        <v>14</v>
      </c>
      <c r="O126" s="107"/>
    </row>
    <row r="127" spans="1:15" ht="16.5" customHeight="1" thickBot="1" x14ac:dyDescent="0.2">
      <c r="A127" s="266"/>
      <c r="B127" s="171" t="s">
        <v>161</v>
      </c>
      <c r="C127" s="107">
        <v>17.5</v>
      </c>
      <c r="D127" s="107">
        <v>30.5</v>
      </c>
      <c r="E127" s="204">
        <v>29</v>
      </c>
      <c r="F127" s="107">
        <v>20.5</v>
      </c>
      <c r="G127" s="107">
        <v>106</v>
      </c>
      <c r="H127" s="107">
        <v>10</v>
      </c>
      <c r="I127" s="107">
        <v>20.5</v>
      </c>
      <c r="J127" s="107">
        <v>8.5</v>
      </c>
      <c r="K127" s="107">
        <v>17</v>
      </c>
      <c r="L127" s="107">
        <v>23.5</v>
      </c>
      <c r="M127" s="107">
        <v>28</v>
      </c>
      <c r="N127" s="107">
        <v>26</v>
      </c>
      <c r="O127" s="168">
        <f>SUM(C127:N127)</f>
        <v>337</v>
      </c>
    </row>
    <row r="128" spans="1:15" ht="16.5" customHeight="1" thickTop="1" x14ac:dyDescent="0.15">
      <c r="A128" s="266"/>
      <c r="B128" s="169" t="s">
        <v>159</v>
      </c>
      <c r="C128" s="110">
        <v>428507</v>
      </c>
      <c r="D128" s="110">
        <v>1280600</v>
      </c>
      <c r="E128" s="203">
        <v>908539</v>
      </c>
      <c r="F128" s="110">
        <v>629417</v>
      </c>
      <c r="G128" s="110">
        <v>396390</v>
      </c>
      <c r="H128" s="110">
        <v>659285</v>
      </c>
      <c r="I128" s="110">
        <v>695931</v>
      </c>
      <c r="J128" s="110">
        <v>455648</v>
      </c>
      <c r="K128" s="110">
        <v>528761</v>
      </c>
      <c r="L128" s="110">
        <v>501098</v>
      </c>
      <c r="M128" s="110">
        <v>661738</v>
      </c>
      <c r="N128" s="110">
        <v>570858</v>
      </c>
      <c r="O128" s="110">
        <f>IF(O116="","",O116-SUM(O117:O124))</f>
        <v>7716772</v>
      </c>
    </row>
    <row r="129" spans="1:15" ht="16.5" customHeight="1" thickBot="1" x14ac:dyDescent="0.2">
      <c r="A129" s="267"/>
      <c r="B129" s="170" t="s">
        <v>160</v>
      </c>
      <c r="C129" s="112">
        <v>7.0742198179255991E-2</v>
      </c>
      <c r="D129" s="112">
        <v>0.18867396355289309</v>
      </c>
      <c r="E129" s="202">
        <v>0.13287936417211299</v>
      </c>
      <c r="F129" s="112">
        <v>9.9524291794053213E-2</v>
      </c>
      <c r="G129" s="112">
        <v>6.0884799489808142E-2</v>
      </c>
      <c r="H129" s="112">
        <v>0.12779446507311182</v>
      </c>
      <c r="I129" s="112">
        <v>0.13676139314722113</v>
      </c>
      <c r="J129" s="112">
        <v>9.6204279541536514E-2</v>
      </c>
      <c r="K129" s="112">
        <v>0.10948557036084865</v>
      </c>
      <c r="L129" s="112">
        <v>0.10432262989843129</v>
      </c>
      <c r="M129" s="112">
        <v>0.13220418490022023</v>
      </c>
      <c r="N129" s="112">
        <v>0.12392095740270002</v>
      </c>
      <c r="O129" s="112">
        <f>IF(O116="","",IF(O116=0,"―     ",O128/O116))</f>
        <v>0.11561485849294059</v>
      </c>
    </row>
    <row r="130" spans="1:15" ht="16.5" customHeight="1" x14ac:dyDescent="0.15">
      <c r="A130" s="251" t="s">
        <v>154</v>
      </c>
      <c r="B130" s="164" t="s">
        <v>21</v>
      </c>
      <c r="C130" s="102">
        <f t="shared" ref="C130:D142" si="23">SUM(C102,C116)</f>
        <v>35390769</v>
      </c>
      <c r="D130" s="102">
        <f t="shared" ref="D130:F131" si="24">SUM(D102,D116)</f>
        <v>36121335</v>
      </c>
      <c r="E130" s="102">
        <f t="shared" si="24"/>
        <v>36176787</v>
      </c>
      <c r="F130" s="102">
        <f t="shared" si="24"/>
        <v>35664220</v>
      </c>
      <c r="G130" s="102">
        <f t="shared" ref="G130:G142" si="25">SUM(G102,G116)</f>
        <v>35851957</v>
      </c>
      <c r="H130" s="102">
        <f t="shared" ref="H130" si="26">SUM(H102,H116)</f>
        <v>33695663</v>
      </c>
      <c r="I130" s="102">
        <f t="shared" ref="I130:I142" si="27">SUM(I102,I116)</f>
        <v>33636366</v>
      </c>
      <c r="J130" s="102">
        <f>SUM(J102,J116)</f>
        <v>33272970</v>
      </c>
      <c r="K130" s="102">
        <f>SUM(K102,K116)</f>
        <v>33377719</v>
      </c>
      <c r="L130" s="102">
        <f>SUM(L102,L116)</f>
        <v>33351564</v>
      </c>
      <c r="M130" s="102">
        <f>SUM(M102,M116)</f>
        <v>33554639</v>
      </c>
      <c r="N130" s="102">
        <f>SUM(N102,N116)</f>
        <v>33128845</v>
      </c>
      <c r="O130" s="103"/>
    </row>
    <row r="131" spans="1:15" ht="16.5" customHeight="1" x14ac:dyDescent="0.15">
      <c r="A131" s="263"/>
      <c r="B131" s="166" t="s">
        <v>155</v>
      </c>
      <c r="C131" s="105">
        <f t="shared" si="23"/>
        <v>20129772</v>
      </c>
      <c r="D131" s="105">
        <f t="shared" si="24"/>
        <v>19789313</v>
      </c>
      <c r="E131" s="105">
        <f t="shared" si="24"/>
        <v>19943273</v>
      </c>
      <c r="F131" s="105">
        <f t="shared" si="24"/>
        <v>19614659</v>
      </c>
      <c r="G131" s="105">
        <f t="shared" si="25"/>
        <v>19095838</v>
      </c>
      <c r="H131" s="105">
        <f t="shared" ref="H131" si="28">SUM(H103,H117)</f>
        <v>17829060</v>
      </c>
      <c r="I131" s="105">
        <f t="shared" si="27"/>
        <v>18002136</v>
      </c>
      <c r="J131" s="105">
        <f t="shared" ref="J131:J142" si="29">SUM(J103,J117)</f>
        <v>17704162</v>
      </c>
      <c r="K131" s="105">
        <f t="shared" ref="K131:L131" si="30">SUM(K103,K117)</f>
        <v>18157305</v>
      </c>
      <c r="L131" s="105">
        <f t="shared" si="30"/>
        <v>18471884</v>
      </c>
      <c r="M131" s="105">
        <f t="shared" ref="M131:N131" si="31">SUM(M103,M117)</f>
        <v>18333965</v>
      </c>
      <c r="N131" s="105">
        <f t="shared" si="31"/>
        <v>18748970</v>
      </c>
      <c r="O131" s="105"/>
    </row>
    <row r="132" spans="1:15" ht="16.5" customHeight="1" x14ac:dyDescent="0.15">
      <c r="A132" s="263"/>
      <c r="B132" s="166" t="s">
        <v>156</v>
      </c>
      <c r="C132" s="105">
        <f t="shared" si="23"/>
        <v>1510581</v>
      </c>
      <c r="D132" s="105">
        <f t="shared" si="23"/>
        <v>1743621</v>
      </c>
      <c r="E132" s="105">
        <f t="shared" ref="E132:F132" si="32">SUM(E104,E118)</f>
        <v>1411391</v>
      </c>
      <c r="F132" s="105">
        <f t="shared" si="32"/>
        <v>1467912</v>
      </c>
      <c r="G132" s="105">
        <f t="shared" si="25"/>
        <v>1924452</v>
      </c>
      <c r="H132" s="105">
        <f t="shared" ref="H132" si="33">SUM(H104,H118)</f>
        <v>1258675</v>
      </c>
      <c r="I132" s="105">
        <f t="shared" si="27"/>
        <v>1257645</v>
      </c>
      <c r="J132" s="105">
        <f t="shared" si="29"/>
        <v>1256795</v>
      </c>
      <c r="K132" s="105">
        <f t="shared" ref="K132:L132" si="34">SUM(K104,K118)</f>
        <v>1237795</v>
      </c>
      <c r="L132" s="105">
        <f t="shared" si="34"/>
        <v>1240795</v>
      </c>
      <c r="M132" s="105">
        <f t="shared" ref="M132:N132" si="35">SUM(M104,M118)</f>
        <v>1711765</v>
      </c>
      <c r="N132" s="105">
        <f t="shared" si="35"/>
        <v>1480225</v>
      </c>
      <c r="O132" s="105"/>
    </row>
    <row r="133" spans="1:15" ht="16.5" customHeight="1" x14ac:dyDescent="0.15">
      <c r="A133" s="263"/>
      <c r="B133" s="166" t="s">
        <v>26</v>
      </c>
      <c r="C133" s="105">
        <f t="shared" si="23"/>
        <v>1486570</v>
      </c>
      <c r="D133" s="105">
        <f t="shared" si="23"/>
        <v>1504620</v>
      </c>
      <c r="E133" s="105">
        <f t="shared" ref="E133:F133" si="36">SUM(E105,E119)</f>
        <v>1525349</v>
      </c>
      <c r="F133" s="105">
        <f t="shared" si="36"/>
        <v>1477819</v>
      </c>
      <c r="G133" s="105">
        <f t="shared" si="25"/>
        <v>1403611</v>
      </c>
      <c r="H133" s="105">
        <f t="shared" ref="H133" si="37">SUM(H105,H119)</f>
        <v>1305568</v>
      </c>
      <c r="I133" s="105">
        <f t="shared" si="27"/>
        <v>1260028</v>
      </c>
      <c r="J133" s="105">
        <f t="shared" si="29"/>
        <v>1255247</v>
      </c>
      <c r="K133" s="105">
        <f t="shared" ref="K133:L133" si="38">SUM(K105,K119)</f>
        <v>1300803</v>
      </c>
      <c r="L133" s="105">
        <f t="shared" si="38"/>
        <v>1312369</v>
      </c>
      <c r="M133" s="105">
        <f t="shared" ref="M133:N133" si="39">SUM(M105,M119)</f>
        <v>1265786</v>
      </c>
      <c r="N133" s="105">
        <f t="shared" si="39"/>
        <v>1308459</v>
      </c>
      <c r="O133" s="105"/>
    </row>
    <row r="134" spans="1:15" ht="16.5" customHeight="1" x14ac:dyDescent="0.15">
      <c r="A134" s="263"/>
      <c r="B134" s="166" t="s">
        <v>66</v>
      </c>
      <c r="C134" s="106">
        <f t="shared" si="23"/>
        <v>2710197</v>
      </c>
      <c r="D134" s="106">
        <f t="shared" si="23"/>
        <v>3099885</v>
      </c>
      <c r="E134" s="106">
        <f t="shared" ref="E134:F134" si="40">SUM(E106,E120)</f>
        <v>2765367</v>
      </c>
      <c r="F134" s="106">
        <f t="shared" si="40"/>
        <v>2807209</v>
      </c>
      <c r="G134" s="106">
        <f t="shared" si="25"/>
        <v>3012604</v>
      </c>
      <c r="H134" s="106">
        <f t="shared" ref="H134" si="41">SUM(H106,H120)</f>
        <v>2986461</v>
      </c>
      <c r="I134" s="106">
        <f t="shared" si="27"/>
        <v>2753870</v>
      </c>
      <c r="J134" s="106">
        <f t="shared" si="29"/>
        <v>2861154</v>
      </c>
      <c r="K134" s="106">
        <f t="shared" ref="K134:L134" si="42">SUM(K106,K120)</f>
        <v>2739734</v>
      </c>
      <c r="L134" s="106">
        <f t="shared" si="42"/>
        <v>2513399</v>
      </c>
      <c r="M134" s="106">
        <f t="shared" ref="M134:N134" si="43">SUM(M106,M120)</f>
        <v>2642435</v>
      </c>
      <c r="N134" s="106">
        <f t="shared" si="43"/>
        <v>2354959</v>
      </c>
      <c r="O134" s="105"/>
    </row>
    <row r="135" spans="1:15" ht="16.5" customHeight="1" x14ac:dyDescent="0.15">
      <c r="A135" s="263"/>
      <c r="B135" s="166" t="s">
        <v>22</v>
      </c>
      <c r="C135" s="105">
        <f t="shared" si="23"/>
        <v>1187126</v>
      </c>
      <c r="D135" s="105">
        <f t="shared" si="23"/>
        <v>1148991</v>
      </c>
      <c r="E135" s="105">
        <f t="shared" ref="E135:F135" si="44">SUM(E107,E121)</f>
        <v>1119373</v>
      </c>
      <c r="F135" s="105">
        <f t="shared" si="44"/>
        <v>1149011</v>
      </c>
      <c r="G135" s="105">
        <f t="shared" si="25"/>
        <v>1131758</v>
      </c>
      <c r="H135" s="105">
        <f t="shared" ref="H135" si="45">SUM(H107,H121)</f>
        <v>1039471</v>
      </c>
      <c r="I135" s="105">
        <f t="shared" si="27"/>
        <v>1041515</v>
      </c>
      <c r="J135" s="105">
        <f t="shared" si="29"/>
        <v>1035239</v>
      </c>
      <c r="K135" s="105">
        <f t="shared" ref="K135:L135" si="46">SUM(K107,K121)</f>
        <v>1108312</v>
      </c>
      <c r="L135" s="105">
        <f t="shared" si="46"/>
        <v>1104224</v>
      </c>
      <c r="M135" s="105">
        <f t="shared" ref="M135:N135" si="47">SUM(M107,M121)</f>
        <v>1096048</v>
      </c>
      <c r="N135" s="105">
        <f t="shared" si="47"/>
        <v>1121598</v>
      </c>
      <c r="O135" s="105"/>
    </row>
    <row r="136" spans="1:15" ht="16.5" customHeight="1" x14ac:dyDescent="0.15">
      <c r="A136" s="263"/>
      <c r="B136" s="166" t="s">
        <v>67</v>
      </c>
      <c r="C136" s="105">
        <f t="shared" si="23"/>
        <v>115649</v>
      </c>
      <c r="D136" s="105">
        <f t="shared" si="23"/>
        <v>105969</v>
      </c>
      <c r="E136" s="105">
        <f t="shared" ref="E136:F136" si="48">SUM(E108,E122)</f>
        <v>102089</v>
      </c>
      <c r="F136" s="105">
        <f t="shared" si="48"/>
        <v>102089</v>
      </c>
      <c r="G136" s="105">
        <f t="shared" si="25"/>
        <v>105123</v>
      </c>
      <c r="H136" s="105">
        <f t="shared" ref="H136" si="49">SUM(H108,H122)</f>
        <v>95316</v>
      </c>
      <c r="I136" s="105">
        <f t="shared" si="27"/>
        <v>97366</v>
      </c>
      <c r="J136" s="105">
        <f t="shared" si="29"/>
        <v>98786</v>
      </c>
      <c r="K136" s="105">
        <f t="shared" ref="K136:L136" si="50">SUM(K108,K122)</f>
        <v>110594</v>
      </c>
      <c r="L136" s="105">
        <f t="shared" si="50"/>
        <v>111414</v>
      </c>
      <c r="M136" s="105">
        <f t="shared" ref="M136:N136" si="51">SUM(M108,M122)</f>
        <v>107724</v>
      </c>
      <c r="N136" s="105">
        <f t="shared" si="51"/>
        <v>113054</v>
      </c>
      <c r="O136" s="105"/>
    </row>
    <row r="137" spans="1:15" ht="16.5" customHeight="1" x14ac:dyDescent="0.15">
      <c r="A137" s="263"/>
      <c r="B137" s="166" t="s">
        <v>23</v>
      </c>
      <c r="C137" s="105">
        <f t="shared" si="23"/>
        <v>2111227</v>
      </c>
      <c r="D137" s="105">
        <f t="shared" si="23"/>
        <v>2057506</v>
      </c>
      <c r="E137" s="105">
        <f t="shared" ref="E137:F137" si="52">SUM(E109,E123)</f>
        <v>2004355</v>
      </c>
      <c r="F137" s="105">
        <f t="shared" si="52"/>
        <v>2057425</v>
      </c>
      <c r="G137" s="105">
        <f t="shared" si="25"/>
        <v>2026532</v>
      </c>
      <c r="H137" s="105">
        <f t="shared" ref="H137" si="53">SUM(H109,H123)</f>
        <v>1861283</v>
      </c>
      <c r="I137" s="105">
        <f t="shared" si="27"/>
        <v>1864943</v>
      </c>
      <c r="J137" s="105">
        <f t="shared" si="29"/>
        <v>1853707</v>
      </c>
      <c r="K137" s="105">
        <f t="shared" ref="K137:L137" si="54">SUM(K109,K123)</f>
        <v>1984552</v>
      </c>
      <c r="L137" s="105">
        <f t="shared" si="54"/>
        <v>1977232</v>
      </c>
      <c r="M137" s="105">
        <f t="shared" ref="M137:N137" si="55">SUM(M109,M123)</f>
        <v>1962592</v>
      </c>
      <c r="N137" s="105">
        <f t="shared" si="55"/>
        <v>2008342</v>
      </c>
      <c r="O137" s="105"/>
    </row>
    <row r="138" spans="1:15" ht="16.5" customHeight="1" x14ac:dyDescent="0.15">
      <c r="A138" s="263"/>
      <c r="B138" s="166" t="s">
        <v>157</v>
      </c>
      <c r="C138" s="105">
        <f t="shared" si="23"/>
        <v>188014</v>
      </c>
      <c r="D138" s="105">
        <f t="shared" si="23"/>
        <v>143890</v>
      </c>
      <c r="E138" s="105">
        <f t="shared" ref="E138:F138" si="56">SUM(E110,E124)</f>
        <v>140742</v>
      </c>
      <c r="F138" s="105">
        <f t="shared" si="56"/>
        <v>140414</v>
      </c>
      <c r="G138" s="105">
        <f t="shared" si="25"/>
        <v>137974</v>
      </c>
      <c r="H138" s="105">
        <f t="shared" ref="H138" si="57">SUM(H110,H124)</f>
        <v>127738</v>
      </c>
      <c r="I138" s="105">
        <f t="shared" si="27"/>
        <v>126106</v>
      </c>
      <c r="J138" s="105">
        <f t="shared" si="29"/>
        <v>177742</v>
      </c>
      <c r="K138" s="105">
        <f t="shared" ref="K138:L138" si="58">SUM(K110,K124)</f>
        <v>179477</v>
      </c>
      <c r="L138" s="105">
        <f t="shared" si="58"/>
        <v>180556</v>
      </c>
      <c r="M138" s="105">
        <f t="shared" ref="M138:N138" si="59">SUM(M110,M124)</f>
        <v>182875</v>
      </c>
      <c r="N138" s="105">
        <f t="shared" si="59"/>
        <v>182180</v>
      </c>
      <c r="O138" s="105"/>
    </row>
    <row r="139" spans="1:15" ht="16.5" customHeight="1" x14ac:dyDescent="0.15">
      <c r="A139" s="263"/>
      <c r="B139" s="166" t="s">
        <v>158</v>
      </c>
      <c r="C139" s="105">
        <f t="shared" si="23"/>
        <v>25837120</v>
      </c>
      <c r="D139" s="105">
        <f t="shared" si="23"/>
        <v>26137439</v>
      </c>
      <c r="E139" s="105">
        <f t="shared" ref="E139:F139" si="60">SUM(E111,E125)</f>
        <v>25645380</v>
      </c>
      <c r="F139" s="105">
        <f t="shared" si="60"/>
        <v>25367599</v>
      </c>
      <c r="G139" s="105">
        <f t="shared" si="25"/>
        <v>25436505</v>
      </c>
      <c r="H139" s="105">
        <f t="shared" ref="H139" si="61">SUM(H111,H125)</f>
        <v>23379764</v>
      </c>
      <c r="I139" s="105">
        <f t="shared" si="27"/>
        <v>23273679</v>
      </c>
      <c r="J139" s="105">
        <f t="shared" si="29"/>
        <v>23077358</v>
      </c>
      <c r="K139" s="105">
        <f t="shared" ref="K139:L139" si="62">SUM(K111,K125)</f>
        <v>23435637</v>
      </c>
      <c r="L139" s="105">
        <f t="shared" si="62"/>
        <v>23538447</v>
      </c>
      <c r="M139" s="105">
        <f t="shared" ref="M139:N139" si="63">SUM(M111,M125)</f>
        <v>23953951</v>
      </c>
      <c r="N139" s="105">
        <f t="shared" si="63"/>
        <v>23892613</v>
      </c>
      <c r="O139" s="105"/>
    </row>
    <row r="140" spans="1:15" ht="16.5" customHeight="1" x14ac:dyDescent="0.15">
      <c r="A140" s="263"/>
      <c r="B140" s="171" t="s">
        <v>202</v>
      </c>
      <c r="C140" s="107">
        <f t="shared" si="23"/>
        <v>131</v>
      </c>
      <c r="D140" s="107">
        <f t="shared" si="23"/>
        <v>133</v>
      </c>
      <c r="E140" s="107">
        <f t="shared" ref="E140:F140" si="64">SUM(E112,E126)</f>
        <v>132</v>
      </c>
      <c r="F140" s="107">
        <f t="shared" si="64"/>
        <v>130</v>
      </c>
      <c r="G140" s="107">
        <f t="shared" si="25"/>
        <v>128</v>
      </c>
      <c r="H140" s="107">
        <f t="shared" ref="H140" si="65">SUM(H112,H126)</f>
        <v>120</v>
      </c>
      <c r="I140" s="107">
        <f t="shared" si="27"/>
        <v>122</v>
      </c>
      <c r="J140" s="107">
        <f t="shared" si="29"/>
        <v>120</v>
      </c>
      <c r="K140" s="107">
        <f t="shared" ref="K140:L140" si="66">SUM(K112,K126)</f>
        <v>123</v>
      </c>
      <c r="L140" s="107">
        <f t="shared" si="66"/>
        <v>126</v>
      </c>
      <c r="M140" s="107">
        <f t="shared" ref="M140:N140" si="67">SUM(M112,M126)</f>
        <v>127</v>
      </c>
      <c r="N140" s="107">
        <f t="shared" si="67"/>
        <v>128</v>
      </c>
      <c r="O140" s="107"/>
    </row>
    <row r="141" spans="1:15" ht="16.5" customHeight="1" thickBot="1" x14ac:dyDescent="0.2">
      <c r="A141" s="263"/>
      <c r="B141" s="171" t="s">
        <v>161</v>
      </c>
      <c r="C141" s="107">
        <f t="shared" si="23"/>
        <v>164</v>
      </c>
      <c r="D141" s="107">
        <f t="shared" si="23"/>
        <v>149.5</v>
      </c>
      <c r="E141" s="107">
        <f t="shared" ref="E141:F141" si="68">SUM(E113,E127)</f>
        <v>121.5</v>
      </c>
      <c r="F141" s="107">
        <f t="shared" si="68"/>
        <v>82.5</v>
      </c>
      <c r="G141" s="107">
        <f t="shared" si="25"/>
        <v>226</v>
      </c>
      <c r="H141" s="107">
        <f t="shared" ref="H141" si="69">SUM(H113,H127)</f>
        <v>56.5</v>
      </c>
      <c r="I141" s="107">
        <f t="shared" si="27"/>
        <v>119</v>
      </c>
      <c r="J141" s="107">
        <f t="shared" si="29"/>
        <v>90</v>
      </c>
      <c r="K141" s="107">
        <f t="shared" ref="K141:L141" si="70">SUM(K113,K127)</f>
        <v>103</v>
      </c>
      <c r="L141" s="107">
        <f t="shared" si="70"/>
        <v>149</v>
      </c>
      <c r="M141" s="107">
        <f t="shared" ref="M141:N141" si="71">SUM(M113,M127)</f>
        <v>181.5</v>
      </c>
      <c r="N141" s="107">
        <f t="shared" si="71"/>
        <v>150</v>
      </c>
      <c r="O141" s="168"/>
    </row>
    <row r="142" spans="1:15" ht="16.5" customHeight="1" thickTop="1" x14ac:dyDescent="0.15">
      <c r="A142" s="263"/>
      <c r="B142" s="169" t="s">
        <v>159</v>
      </c>
      <c r="C142" s="110">
        <f t="shared" si="23"/>
        <v>5951633</v>
      </c>
      <c r="D142" s="110">
        <f t="shared" si="23"/>
        <v>6527540</v>
      </c>
      <c r="E142" s="110">
        <f t="shared" ref="E142:F142" si="72">SUM(E114,E128)</f>
        <v>7164848</v>
      </c>
      <c r="F142" s="110">
        <f t="shared" si="72"/>
        <v>6847682</v>
      </c>
      <c r="G142" s="110">
        <f t="shared" si="25"/>
        <v>7014065</v>
      </c>
      <c r="H142" s="110">
        <f t="shared" ref="H142" si="73">SUM(H114,H128)</f>
        <v>7192091</v>
      </c>
      <c r="I142" s="110">
        <f t="shared" si="27"/>
        <v>7232757</v>
      </c>
      <c r="J142" s="110">
        <f t="shared" si="29"/>
        <v>7030138</v>
      </c>
      <c r="K142" s="110">
        <f t="shared" ref="K142:L142" si="74">SUM(K114,K128)</f>
        <v>6559147</v>
      </c>
      <c r="L142" s="110">
        <f t="shared" si="74"/>
        <v>6439691</v>
      </c>
      <c r="M142" s="110">
        <f t="shared" ref="M142:N142" si="75">SUM(M114,M128)</f>
        <v>6251449</v>
      </c>
      <c r="N142" s="110">
        <f t="shared" si="75"/>
        <v>5811058</v>
      </c>
      <c r="O142" s="110"/>
    </row>
    <row r="143" spans="1:15" ht="16.5" customHeight="1" thickBot="1" x14ac:dyDescent="0.2">
      <c r="A143" s="264"/>
      <c r="B143" s="170" t="s">
        <v>160</v>
      </c>
      <c r="C143" s="112">
        <f t="shared" ref="C143" si="76">IF(C130="","",IF(C130=0,"―     ",C142/C130))</f>
        <v>0.16816907821358729</v>
      </c>
      <c r="D143" s="112">
        <f t="shared" ref="D143:I143" si="77">IF(D130="","",IF(D130=0,"―     ",D142/D130))</f>
        <v>0.18071148256286762</v>
      </c>
      <c r="E143" s="112">
        <f t="shared" si="77"/>
        <v>0.19805097672161986</v>
      </c>
      <c r="F143" s="112">
        <f t="shared" si="77"/>
        <v>0.19200425524517289</v>
      </c>
      <c r="G143" s="112">
        <f t="shared" si="77"/>
        <v>0.19563966898654933</v>
      </c>
      <c r="H143" s="112">
        <f t="shared" si="77"/>
        <v>0.21344263206810918</v>
      </c>
      <c r="I143" s="112">
        <f t="shared" si="77"/>
        <v>0.21502789570074246</v>
      </c>
      <c r="J143" s="112">
        <f t="shared" ref="J143:K143" si="78">IF(J130="","",IF(J130=0,"―     ",J142/J130))</f>
        <v>0.2112867591922212</v>
      </c>
      <c r="K143" s="112">
        <f t="shared" si="78"/>
        <v>0.19651273953142215</v>
      </c>
      <c r="L143" s="112">
        <f t="shared" ref="L143:M143" si="79">IF(L130="","",IF(L130=0,"―     ",L142/L130))</f>
        <v>0.19308512788185886</v>
      </c>
      <c r="M143" s="112">
        <f t="shared" si="79"/>
        <v>0.18630654914809247</v>
      </c>
      <c r="N143" s="112">
        <f t="shared" ref="N143" si="80">IF(N130="","",IF(N130=0,"―     ",N142/N130))</f>
        <v>0.17540780549397361</v>
      </c>
      <c r="O143" s="112"/>
    </row>
    <row r="149" spans="7:7" x14ac:dyDescent="0.15">
      <c r="G149" s="179"/>
    </row>
    <row r="150" spans="7:7" x14ac:dyDescent="0.15">
      <c r="G150" s="179"/>
    </row>
  </sheetData>
  <autoFilter ref="A3:O195" xr:uid="{00000000-0009-0000-0000-00000C000000}"/>
  <mergeCells count="11">
    <mergeCell ref="A60:A73"/>
    <mergeCell ref="A1:O1"/>
    <mergeCell ref="A4:A17"/>
    <mergeCell ref="A18:A31"/>
    <mergeCell ref="A32:A45"/>
    <mergeCell ref="A46:A59"/>
    <mergeCell ref="A74:A87"/>
    <mergeCell ref="A88:A101"/>
    <mergeCell ref="A102:A115"/>
    <mergeCell ref="A116:A129"/>
    <mergeCell ref="A130:A143"/>
  </mergeCells>
  <phoneticPr fontId="3"/>
  <pageMargins left="0.19685039370078741" right="0.19685039370078741" top="0.19685039370078741" bottom="0.19685039370078741" header="0.19685039370078741" footer="0.19685039370078741"/>
  <pageSetup paperSize="9" scale="77" orientation="landscape" r:id="rId1"/>
  <headerFooter alignWithMargins="0">
    <oddHeader>&amp;R&amp;D  &amp;T</oddHeader>
    <oddFooter>&amp;C&amp;P/&amp;N&amp;R㈱タスクフォース</oddFooter>
  </headerFooter>
  <rowBreaks count="2" manualBreakCount="2">
    <brk id="83" max="14" man="1"/>
    <brk id="129" max="1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6"/>
  <sheetViews>
    <sheetView view="pageBreakPreview" zoomScaleNormal="100" zoomScaleSheetLayoutView="100" workbookViewId="0">
      <pane xSplit="2" ySplit="3" topLeftCell="C4" activePane="bottomRight" state="frozen"/>
      <selection activeCell="K4" sqref="K4:K315"/>
      <selection pane="topRight" activeCell="K4" sqref="K4:K315"/>
      <selection pane="bottomLeft" activeCell="K4" sqref="K4:K315"/>
      <selection pane="bottomRight" activeCell="E30" sqref="E30"/>
    </sheetView>
  </sheetViews>
  <sheetFormatPr defaultRowHeight="13.5" x14ac:dyDescent="0.15"/>
  <cols>
    <col min="1" max="1" width="13.875" style="96" bestFit="1" customWidth="1"/>
    <col min="2" max="2" width="9" style="96"/>
    <col min="3" max="4" width="11.375" style="96" customWidth="1"/>
    <col min="5" max="5" width="11.75" style="96" bestFit="1" customWidth="1"/>
    <col min="6" max="9" width="10.875" style="96" bestFit="1" customWidth="1"/>
    <col min="10" max="10" width="11.25" style="96" bestFit="1" customWidth="1"/>
    <col min="11" max="11" width="10.875" style="96" customWidth="1"/>
    <col min="12" max="14" width="10" style="96" customWidth="1"/>
    <col min="15" max="15" width="13.625" style="96" bestFit="1" customWidth="1"/>
    <col min="16" max="256" width="9" style="96"/>
    <col min="257" max="257" width="13.875" style="96" bestFit="1" customWidth="1"/>
    <col min="258" max="258" width="9" style="96"/>
    <col min="259" max="260" width="11.375" style="96" customWidth="1"/>
    <col min="261" max="261" width="11.75" style="96" bestFit="1" customWidth="1"/>
    <col min="262" max="265" width="10.875" style="96" bestFit="1" customWidth="1"/>
    <col min="266" max="266" width="11.25" style="96" bestFit="1" customWidth="1"/>
    <col min="267" max="267" width="10.875" style="96" customWidth="1"/>
    <col min="268" max="270" width="10" style="96" customWidth="1"/>
    <col min="271" max="271" width="13.625" style="96" bestFit="1" customWidth="1"/>
    <col min="272" max="512" width="9" style="96"/>
    <col min="513" max="513" width="13.875" style="96" bestFit="1" customWidth="1"/>
    <col min="514" max="514" width="9" style="96"/>
    <col min="515" max="516" width="11.375" style="96" customWidth="1"/>
    <col min="517" max="517" width="11.75" style="96" bestFit="1" customWidth="1"/>
    <col min="518" max="521" width="10.875" style="96" bestFit="1" customWidth="1"/>
    <col min="522" max="522" width="11.25" style="96" bestFit="1" customWidth="1"/>
    <col min="523" max="523" width="10.875" style="96" customWidth="1"/>
    <col min="524" max="526" width="10" style="96" customWidth="1"/>
    <col min="527" max="527" width="13.625" style="96" bestFit="1" customWidth="1"/>
    <col min="528" max="768" width="9" style="96"/>
    <col min="769" max="769" width="13.875" style="96" bestFit="1" customWidth="1"/>
    <col min="770" max="770" width="9" style="96"/>
    <col min="771" max="772" width="11.375" style="96" customWidth="1"/>
    <col min="773" max="773" width="11.75" style="96" bestFit="1" customWidth="1"/>
    <col min="774" max="777" width="10.875" style="96" bestFit="1" customWidth="1"/>
    <col min="778" max="778" width="11.25" style="96" bestFit="1" customWidth="1"/>
    <col min="779" max="779" width="10.875" style="96" customWidth="1"/>
    <col min="780" max="782" width="10" style="96" customWidth="1"/>
    <col min="783" max="783" width="13.625" style="96" bestFit="1" customWidth="1"/>
    <col min="784" max="1024" width="9" style="96"/>
    <col min="1025" max="1025" width="13.875" style="96" bestFit="1" customWidth="1"/>
    <col min="1026" max="1026" width="9" style="96"/>
    <col min="1027" max="1028" width="11.375" style="96" customWidth="1"/>
    <col min="1029" max="1029" width="11.75" style="96" bestFit="1" customWidth="1"/>
    <col min="1030" max="1033" width="10.875" style="96" bestFit="1" customWidth="1"/>
    <col min="1034" max="1034" width="11.25" style="96" bestFit="1" customWidth="1"/>
    <col min="1035" max="1035" width="10.875" style="96" customWidth="1"/>
    <col min="1036" max="1038" width="10" style="96" customWidth="1"/>
    <col min="1039" max="1039" width="13.625" style="96" bestFit="1" customWidth="1"/>
    <col min="1040" max="1280" width="9" style="96"/>
    <col min="1281" max="1281" width="13.875" style="96" bestFit="1" customWidth="1"/>
    <col min="1282" max="1282" width="9" style="96"/>
    <col min="1283" max="1284" width="11.375" style="96" customWidth="1"/>
    <col min="1285" max="1285" width="11.75" style="96" bestFit="1" customWidth="1"/>
    <col min="1286" max="1289" width="10.875" style="96" bestFit="1" customWidth="1"/>
    <col min="1290" max="1290" width="11.25" style="96" bestFit="1" customWidth="1"/>
    <col min="1291" max="1291" width="10.875" style="96" customWidth="1"/>
    <col min="1292" max="1294" width="10" style="96" customWidth="1"/>
    <col min="1295" max="1295" width="13.625" style="96" bestFit="1" customWidth="1"/>
    <col min="1296" max="1536" width="9" style="96"/>
    <col min="1537" max="1537" width="13.875" style="96" bestFit="1" customWidth="1"/>
    <col min="1538" max="1538" width="9" style="96"/>
    <col min="1539" max="1540" width="11.375" style="96" customWidth="1"/>
    <col min="1541" max="1541" width="11.75" style="96" bestFit="1" customWidth="1"/>
    <col min="1542" max="1545" width="10.875" style="96" bestFit="1" customWidth="1"/>
    <col min="1546" max="1546" width="11.25" style="96" bestFit="1" customWidth="1"/>
    <col min="1547" max="1547" width="10.875" style="96" customWidth="1"/>
    <col min="1548" max="1550" width="10" style="96" customWidth="1"/>
    <col min="1551" max="1551" width="13.625" style="96" bestFit="1" customWidth="1"/>
    <col min="1552" max="1792" width="9" style="96"/>
    <col min="1793" max="1793" width="13.875" style="96" bestFit="1" customWidth="1"/>
    <col min="1794" max="1794" width="9" style="96"/>
    <col min="1795" max="1796" width="11.375" style="96" customWidth="1"/>
    <col min="1797" max="1797" width="11.75" style="96" bestFit="1" customWidth="1"/>
    <col min="1798" max="1801" width="10.875" style="96" bestFit="1" customWidth="1"/>
    <col min="1802" max="1802" width="11.25" style="96" bestFit="1" customWidth="1"/>
    <col min="1803" max="1803" width="10.875" style="96" customWidth="1"/>
    <col min="1804" max="1806" width="10" style="96" customWidth="1"/>
    <col min="1807" max="1807" width="13.625" style="96" bestFit="1" customWidth="1"/>
    <col min="1808" max="2048" width="9" style="96"/>
    <col min="2049" max="2049" width="13.875" style="96" bestFit="1" customWidth="1"/>
    <col min="2050" max="2050" width="9" style="96"/>
    <col min="2051" max="2052" width="11.375" style="96" customWidth="1"/>
    <col min="2053" max="2053" width="11.75" style="96" bestFit="1" customWidth="1"/>
    <col min="2054" max="2057" width="10.875" style="96" bestFit="1" customWidth="1"/>
    <col min="2058" max="2058" width="11.25" style="96" bestFit="1" customWidth="1"/>
    <col min="2059" max="2059" width="10.875" style="96" customWidth="1"/>
    <col min="2060" max="2062" width="10" style="96" customWidth="1"/>
    <col min="2063" max="2063" width="13.625" style="96" bestFit="1" customWidth="1"/>
    <col min="2064" max="2304" width="9" style="96"/>
    <col min="2305" max="2305" width="13.875" style="96" bestFit="1" customWidth="1"/>
    <col min="2306" max="2306" width="9" style="96"/>
    <col min="2307" max="2308" width="11.375" style="96" customWidth="1"/>
    <col min="2309" max="2309" width="11.75" style="96" bestFit="1" customWidth="1"/>
    <col min="2310" max="2313" width="10.875" style="96" bestFit="1" customWidth="1"/>
    <col min="2314" max="2314" width="11.25" style="96" bestFit="1" customWidth="1"/>
    <col min="2315" max="2315" width="10.875" style="96" customWidth="1"/>
    <col min="2316" max="2318" width="10" style="96" customWidth="1"/>
    <col min="2319" max="2319" width="13.625" style="96" bestFit="1" customWidth="1"/>
    <col min="2320" max="2560" width="9" style="96"/>
    <col min="2561" max="2561" width="13.875" style="96" bestFit="1" customWidth="1"/>
    <col min="2562" max="2562" width="9" style="96"/>
    <col min="2563" max="2564" width="11.375" style="96" customWidth="1"/>
    <col min="2565" max="2565" width="11.75" style="96" bestFit="1" customWidth="1"/>
    <col min="2566" max="2569" width="10.875" style="96" bestFit="1" customWidth="1"/>
    <col min="2570" max="2570" width="11.25" style="96" bestFit="1" customWidth="1"/>
    <col min="2571" max="2571" width="10.875" style="96" customWidth="1"/>
    <col min="2572" max="2574" width="10" style="96" customWidth="1"/>
    <col min="2575" max="2575" width="13.625" style="96" bestFit="1" customWidth="1"/>
    <col min="2576" max="2816" width="9" style="96"/>
    <col min="2817" max="2817" width="13.875" style="96" bestFit="1" customWidth="1"/>
    <col min="2818" max="2818" width="9" style="96"/>
    <col min="2819" max="2820" width="11.375" style="96" customWidth="1"/>
    <col min="2821" max="2821" width="11.75" style="96" bestFit="1" customWidth="1"/>
    <col min="2822" max="2825" width="10.875" style="96" bestFit="1" customWidth="1"/>
    <col min="2826" max="2826" width="11.25" style="96" bestFit="1" customWidth="1"/>
    <col min="2827" max="2827" width="10.875" style="96" customWidth="1"/>
    <col min="2828" max="2830" width="10" style="96" customWidth="1"/>
    <col min="2831" max="2831" width="13.625" style="96" bestFit="1" customWidth="1"/>
    <col min="2832" max="3072" width="9" style="96"/>
    <col min="3073" max="3073" width="13.875" style="96" bestFit="1" customWidth="1"/>
    <col min="3074" max="3074" width="9" style="96"/>
    <col min="3075" max="3076" width="11.375" style="96" customWidth="1"/>
    <col min="3077" max="3077" width="11.75" style="96" bestFit="1" customWidth="1"/>
    <col min="3078" max="3081" width="10.875" style="96" bestFit="1" customWidth="1"/>
    <col min="3082" max="3082" width="11.25" style="96" bestFit="1" customWidth="1"/>
    <col min="3083" max="3083" width="10.875" style="96" customWidth="1"/>
    <col min="3084" max="3086" width="10" style="96" customWidth="1"/>
    <col min="3087" max="3087" width="13.625" style="96" bestFit="1" customWidth="1"/>
    <col min="3088" max="3328" width="9" style="96"/>
    <col min="3329" max="3329" width="13.875" style="96" bestFit="1" customWidth="1"/>
    <col min="3330" max="3330" width="9" style="96"/>
    <col min="3331" max="3332" width="11.375" style="96" customWidth="1"/>
    <col min="3333" max="3333" width="11.75" style="96" bestFit="1" customWidth="1"/>
    <col min="3334" max="3337" width="10.875" style="96" bestFit="1" customWidth="1"/>
    <col min="3338" max="3338" width="11.25" style="96" bestFit="1" customWidth="1"/>
    <col min="3339" max="3339" width="10.875" style="96" customWidth="1"/>
    <col min="3340" max="3342" width="10" style="96" customWidth="1"/>
    <col min="3343" max="3343" width="13.625" style="96" bestFit="1" customWidth="1"/>
    <col min="3344" max="3584" width="9" style="96"/>
    <col min="3585" max="3585" width="13.875" style="96" bestFit="1" customWidth="1"/>
    <col min="3586" max="3586" width="9" style="96"/>
    <col min="3587" max="3588" width="11.375" style="96" customWidth="1"/>
    <col min="3589" max="3589" width="11.75" style="96" bestFit="1" customWidth="1"/>
    <col min="3590" max="3593" width="10.875" style="96" bestFit="1" customWidth="1"/>
    <col min="3594" max="3594" width="11.25" style="96" bestFit="1" customWidth="1"/>
    <col min="3595" max="3595" width="10.875" style="96" customWidth="1"/>
    <col min="3596" max="3598" width="10" style="96" customWidth="1"/>
    <col min="3599" max="3599" width="13.625" style="96" bestFit="1" customWidth="1"/>
    <col min="3600" max="3840" width="9" style="96"/>
    <col min="3841" max="3841" width="13.875" style="96" bestFit="1" customWidth="1"/>
    <col min="3842" max="3842" width="9" style="96"/>
    <col min="3843" max="3844" width="11.375" style="96" customWidth="1"/>
    <col min="3845" max="3845" width="11.75" style="96" bestFit="1" customWidth="1"/>
    <col min="3846" max="3849" width="10.875" style="96" bestFit="1" customWidth="1"/>
    <col min="3850" max="3850" width="11.25" style="96" bestFit="1" customWidth="1"/>
    <col min="3851" max="3851" width="10.875" style="96" customWidth="1"/>
    <col min="3852" max="3854" width="10" style="96" customWidth="1"/>
    <col min="3855" max="3855" width="13.625" style="96" bestFit="1" customWidth="1"/>
    <col min="3856" max="4096" width="9" style="96"/>
    <col min="4097" max="4097" width="13.875" style="96" bestFit="1" customWidth="1"/>
    <col min="4098" max="4098" width="9" style="96"/>
    <col min="4099" max="4100" width="11.375" style="96" customWidth="1"/>
    <col min="4101" max="4101" width="11.75" style="96" bestFit="1" customWidth="1"/>
    <col min="4102" max="4105" width="10.875" style="96" bestFit="1" customWidth="1"/>
    <col min="4106" max="4106" width="11.25" style="96" bestFit="1" customWidth="1"/>
    <col min="4107" max="4107" width="10.875" style="96" customWidth="1"/>
    <col min="4108" max="4110" width="10" style="96" customWidth="1"/>
    <col min="4111" max="4111" width="13.625" style="96" bestFit="1" customWidth="1"/>
    <col min="4112" max="4352" width="9" style="96"/>
    <col min="4353" max="4353" width="13.875" style="96" bestFit="1" customWidth="1"/>
    <col min="4354" max="4354" width="9" style="96"/>
    <col min="4355" max="4356" width="11.375" style="96" customWidth="1"/>
    <col min="4357" max="4357" width="11.75" style="96" bestFit="1" customWidth="1"/>
    <col min="4358" max="4361" width="10.875" style="96" bestFit="1" customWidth="1"/>
    <col min="4362" max="4362" width="11.25" style="96" bestFit="1" customWidth="1"/>
    <col min="4363" max="4363" width="10.875" style="96" customWidth="1"/>
    <col min="4364" max="4366" width="10" style="96" customWidth="1"/>
    <col min="4367" max="4367" width="13.625" style="96" bestFit="1" customWidth="1"/>
    <col min="4368" max="4608" width="9" style="96"/>
    <col min="4609" max="4609" width="13.875" style="96" bestFit="1" customWidth="1"/>
    <col min="4610" max="4610" width="9" style="96"/>
    <col min="4611" max="4612" width="11.375" style="96" customWidth="1"/>
    <col min="4613" max="4613" width="11.75" style="96" bestFit="1" customWidth="1"/>
    <col min="4614" max="4617" width="10.875" style="96" bestFit="1" customWidth="1"/>
    <col min="4618" max="4618" width="11.25" style="96" bestFit="1" customWidth="1"/>
    <col min="4619" max="4619" width="10.875" style="96" customWidth="1"/>
    <col min="4620" max="4622" width="10" style="96" customWidth="1"/>
    <col min="4623" max="4623" width="13.625" style="96" bestFit="1" customWidth="1"/>
    <col min="4624" max="4864" width="9" style="96"/>
    <col min="4865" max="4865" width="13.875" style="96" bestFit="1" customWidth="1"/>
    <col min="4866" max="4866" width="9" style="96"/>
    <col min="4867" max="4868" width="11.375" style="96" customWidth="1"/>
    <col min="4869" max="4869" width="11.75" style="96" bestFit="1" customWidth="1"/>
    <col min="4870" max="4873" width="10.875" style="96" bestFit="1" customWidth="1"/>
    <col min="4874" max="4874" width="11.25" style="96" bestFit="1" customWidth="1"/>
    <col min="4875" max="4875" width="10.875" style="96" customWidth="1"/>
    <col min="4876" max="4878" width="10" style="96" customWidth="1"/>
    <col min="4879" max="4879" width="13.625" style="96" bestFit="1" customWidth="1"/>
    <col min="4880" max="5120" width="9" style="96"/>
    <col min="5121" max="5121" width="13.875" style="96" bestFit="1" customWidth="1"/>
    <col min="5122" max="5122" width="9" style="96"/>
    <col min="5123" max="5124" width="11.375" style="96" customWidth="1"/>
    <col min="5125" max="5125" width="11.75" style="96" bestFit="1" customWidth="1"/>
    <col min="5126" max="5129" width="10.875" style="96" bestFit="1" customWidth="1"/>
    <col min="5130" max="5130" width="11.25" style="96" bestFit="1" customWidth="1"/>
    <col min="5131" max="5131" width="10.875" style="96" customWidth="1"/>
    <col min="5132" max="5134" width="10" style="96" customWidth="1"/>
    <col min="5135" max="5135" width="13.625" style="96" bestFit="1" customWidth="1"/>
    <col min="5136" max="5376" width="9" style="96"/>
    <col min="5377" max="5377" width="13.875" style="96" bestFit="1" customWidth="1"/>
    <col min="5378" max="5378" width="9" style="96"/>
    <col min="5379" max="5380" width="11.375" style="96" customWidth="1"/>
    <col min="5381" max="5381" width="11.75" style="96" bestFit="1" customWidth="1"/>
    <col min="5382" max="5385" width="10.875" style="96" bestFit="1" customWidth="1"/>
    <col min="5386" max="5386" width="11.25" style="96" bestFit="1" customWidth="1"/>
    <col min="5387" max="5387" width="10.875" style="96" customWidth="1"/>
    <col min="5388" max="5390" width="10" style="96" customWidth="1"/>
    <col min="5391" max="5391" width="13.625" style="96" bestFit="1" customWidth="1"/>
    <col min="5392" max="5632" width="9" style="96"/>
    <col min="5633" max="5633" width="13.875" style="96" bestFit="1" customWidth="1"/>
    <col min="5634" max="5634" width="9" style="96"/>
    <col min="5635" max="5636" width="11.375" style="96" customWidth="1"/>
    <col min="5637" max="5637" width="11.75" style="96" bestFit="1" customWidth="1"/>
    <col min="5638" max="5641" width="10.875" style="96" bestFit="1" customWidth="1"/>
    <col min="5642" max="5642" width="11.25" style="96" bestFit="1" customWidth="1"/>
    <col min="5643" max="5643" width="10.875" style="96" customWidth="1"/>
    <col min="5644" max="5646" width="10" style="96" customWidth="1"/>
    <col min="5647" max="5647" width="13.625" style="96" bestFit="1" customWidth="1"/>
    <col min="5648" max="5888" width="9" style="96"/>
    <col min="5889" max="5889" width="13.875" style="96" bestFit="1" customWidth="1"/>
    <col min="5890" max="5890" width="9" style="96"/>
    <col min="5891" max="5892" width="11.375" style="96" customWidth="1"/>
    <col min="5893" max="5893" width="11.75" style="96" bestFit="1" customWidth="1"/>
    <col min="5894" max="5897" width="10.875" style="96" bestFit="1" customWidth="1"/>
    <col min="5898" max="5898" width="11.25" style="96" bestFit="1" customWidth="1"/>
    <col min="5899" max="5899" width="10.875" style="96" customWidth="1"/>
    <col min="5900" max="5902" width="10" style="96" customWidth="1"/>
    <col min="5903" max="5903" width="13.625" style="96" bestFit="1" customWidth="1"/>
    <col min="5904" max="6144" width="9" style="96"/>
    <col min="6145" max="6145" width="13.875" style="96" bestFit="1" customWidth="1"/>
    <col min="6146" max="6146" width="9" style="96"/>
    <col min="6147" max="6148" width="11.375" style="96" customWidth="1"/>
    <col min="6149" max="6149" width="11.75" style="96" bestFit="1" customWidth="1"/>
    <col min="6150" max="6153" width="10.875" style="96" bestFit="1" customWidth="1"/>
    <col min="6154" max="6154" width="11.25" style="96" bestFit="1" customWidth="1"/>
    <col min="6155" max="6155" width="10.875" style="96" customWidth="1"/>
    <col min="6156" max="6158" width="10" style="96" customWidth="1"/>
    <col min="6159" max="6159" width="13.625" style="96" bestFit="1" customWidth="1"/>
    <col min="6160" max="6400" width="9" style="96"/>
    <col min="6401" max="6401" width="13.875" style="96" bestFit="1" customWidth="1"/>
    <col min="6402" max="6402" width="9" style="96"/>
    <col min="6403" max="6404" width="11.375" style="96" customWidth="1"/>
    <col min="6405" max="6405" width="11.75" style="96" bestFit="1" customWidth="1"/>
    <col min="6406" max="6409" width="10.875" style="96" bestFit="1" customWidth="1"/>
    <col min="6410" max="6410" width="11.25" style="96" bestFit="1" customWidth="1"/>
    <col min="6411" max="6411" width="10.875" style="96" customWidth="1"/>
    <col min="6412" max="6414" width="10" style="96" customWidth="1"/>
    <col min="6415" max="6415" width="13.625" style="96" bestFit="1" customWidth="1"/>
    <col min="6416" max="6656" width="9" style="96"/>
    <col min="6657" max="6657" width="13.875" style="96" bestFit="1" customWidth="1"/>
    <col min="6658" max="6658" width="9" style="96"/>
    <col min="6659" max="6660" width="11.375" style="96" customWidth="1"/>
    <col min="6661" max="6661" width="11.75" style="96" bestFit="1" customWidth="1"/>
    <col min="6662" max="6665" width="10.875" style="96" bestFit="1" customWidth="1"/>
    <col min="6666" max="6666" width="11.25" style="96" bestFit="1" customWidth="1"/>
    <col min="6667" max="6667" width="10.875" style="96" customWidth="1"/>
    <col min="6668" max="6670" width="10" style="96" customWidth="1"/>
    <col min="6671" max="6671" width="13.625" style="96" bestFit="1" customWidth="1"/>
    <col min="6672" max="6912" width="9" style="96"/>
    <col min="6913" max="6913" width="13.875" style="96" bestFit="1" customWidth="1"/>
    <col min="6914" max="6914" width="9" style="96"/>
    <col min="6915" max="6916" width="11.375" style="96" customWidth="1"/>
    <col min="6917" max="6917" width="11.75" style="96" bestFit="1" customWidth="1"/>
    <col min="6918" max="6921" width="10.875" style="96" bestFit="1" customWidth="1"/>
    <col min="6922" max="6922" width="11.25" style="96" bestFit="1" customWidth="1"/>
    <col min="6923" max="6923" width="10.875" style="96" customWidth="1"/>
    <col min="6924" max="6926" width="10" style="96" customWidth="1"/>
    <col min="6927" max="6927" width="13.625" style="96" bestFit="1" customWidth="1"/>
    <col min="6928" max="7168" width="9" style="96"/>
    <col min="7169" max="7169" width="13.875" style="96" bestFit="1" customWidth="1"/>
    <col min="7170" max="7170" width="9" style="96"/>
    <col min="7171" max="7172" width="11.375" style="96" customWidth="1"/>
    <col min="7173" max="7173" width="11.75" style="96" bestFit="1" customWidth="1"/>
    <col min="7174" max="7177" width="10.875" style="96" bestFit="1" customWidth="1"/>
    <col min="7178" max="7178" width="11.25" style="96" bestFit="1" customWidth="1"/>
    <col min="7179" max="7179" width="10.875" style="96" customWidth="1"/>
    <col min="7180" max="7182" width="10" style="96" customWidth="1"/>
    <col min="7183" max="7183" width="13.625" style="96" bestFit="1" customWidth="1"/>
    <col min="7184" max="7424" width="9" style="96"/>
    <col min="7425" max="7425" width="13.875" style="96" bestFit="1" customWidth="1"/>
    <col min="7426" max="7426" width="9" style="96"/>
    <col min="7427" max="7428" width="11.375" style="96" customWidth="1"/>
    <col min="7429" max="7429" width="11.75" style="96" bestFit="1" customWidth="1"/>
    <col min="7430" max="7433" width="10.875" style="96" bestFit="1" customWidth="1"/>
    <col min="7434" max="7434" width="11.25" style="96" bestFit="1" customWidth="1"/>
    <col min="7435" max="7435" width="10.875" style="96" customWidth="1"/>
    <col min="7436" max="7438" width="10" style="96" customWidth="1"/>
    <col min="7439" max="7439" width="13.625" style="96" bestFit="1" customWidth="1"/>
    <col min="7440" max="7680" width="9" style="96"/>
    <col min="7681" max="7681" width="13.875" style="96" bestFit="1" customWidth="1"/>
    <col min="7682" max="7682" width="9" style="96"/>
    <col min="7683" max="7684" width="11.375" style="96" customWidth="1"/>
    <col min="7685" max="7685" width="11.75" style="96" bestFit="1" customWidth="1"/>
    <col min="7686" max="7689" width="10.875" style="96" bestFit="1" customWidth="1"/>
    <col min="7690" max="7690" width="11.25" style="96" bestFit="1" customWidth="1"/>
    <col min="7691" max="7691" width="10.875" style="96" customWidth="1"/>
    <col min="7692" max="7694" width="10" style="96" customWidth="1"/>
    <col min="7695" max="7695" width="13.625" style="96" bestFit="1" customWidth="1"/>
    <col min="7696" max="7936" width="9" style="96"/>
    <col min="7937" max="7937" width="13.875" style="96" bestFit="1" customWidth="1"/>
    <col min="7938" max="7938" width="9" style="96"/>
    <col min="7939" max="7940" width="11.375" style="96" customWidth="1"/>
    <col min="7941" max="7941" width="11.75" style="96" bestFit="1" customWidth="1"/>
    <col min="7942" max="7945" width="10.875" style="96" bestFit="1" customWidth="1"/>
    <col min="7946" max="7946" width="11.25" style="96" bestFit="1" customWidth="1"/>
    <col min="7947" max="7947" width="10.875" style="96" customWidth="1"/>
    <col min="7948" max="7950" width="10" style="96" customWidth="1"/>
    <col min="7951" max="7951" width="13.625" style="96" bestFit="1" customWidth="1"/>
    <col min="7952" max="8192" width="9" style="96"/>
    <col min="8193" max="8193" width="13.875" style="96" bestFit="1" customWidth="1"/>
    <col min="8194" max="8194" width="9" style="96"/>
    <col min="8195" max="8196" width="11.375" style="96" customWidth="1"/>
    <col min="8197" max="8197" width="11.75" style="96" bestFit="1" customWidth="1"/>
    <col min="8198" max="8201" width="10.875" style="96" bestFit="1" customWidth="1"/>
    <col min="8202" max="8202" width="11.25" style="96" bestFit="1" customWidth="1"/>
    <col min="8203" max="8203" width="10.875" style="96" customWidth="1"/>
    <col min="8204" max="8206" width="10" style="96" customWidth="1"/>
    <col min="8207" max="8207" width="13.625" style="96" bestFit="1" customWidth="1"/>
    <col min="8208" max="8448" width="9" style="96"/>
    <col min="8449" max="8449" width="13.875" style="96" bestFit="1" customWidth="1"/>
    <col min="8450" max="8450" width="9" style="96"/>
    <col min="8451" max="8452" width="11.375" style="96" customWidth="1"/>
    <col min="8453" max="8453" width="11.75" style="96" bestFit="1" customWidth="1"/>
    <col min="8454" max="8457" width="10.875" style="96" bestFit="1" customWidth="1"/>
    <col min="8458" max="8458" width="11.25" style="96" bestFit="1" customWidth="1"/>
    <col min="8459" max="8459" width="10.875" style="96" customWidth="1"/>
    <col min="8460" max="8462" width="10" style="96" customWidth="1"/>
    <col min="8463" max="8463" width="13.625" style="96" bestFit="1" customWidth="1"/>
    <col min="8464" max="8704" width="9" style="96"/>
    <col min="8705" max="8705" width="13.875" style="96" bestFit="1" customWidth="1"/>
    <col min="8706" max="8706" width="9" style="96"/>
    <col min="8707" max="8708" width="11.375" style="96" customWidth="1"/>
    <col min="8709" max="8709" width="11.75" style="96" bestFit="1" customWidth="1"/>
    <col min="8710" max="8713" width="10.875" style="96" bestFit="1" customWidth="1"/>
    <col min="8714" max="8714" width="11.25" style="96" bestFit="1" customWidth="1"/>
    <col min="8715" max="8715" width="10.875" style="96" customWidth="1"/>
    <col min="8716" max="8718" width="10" style="96" customWidth="1"/>
    <col min="8719" max="8719" width="13.625" style="96" bestFit="1" customWidth="1"/>
    <col min="8720" max="8960" width="9" style="96"/>
    <col min="8961" max="8961" width="13.875" style="96" bestFit="1" customWidth="1"/>
    <col min="8962" max="8962" width="9" style="96"/>
    <col min="8963" max="8964" width="11.375" style="96" customWidth="1"/>
    <col min="8965" max="8965" width="11.75" style="96" bestFit="1" customWidth="1"/>
    <col min="8966" max="8969" width="10.875" style="96" bestFit="1" customWidth="1"/>
    <col min="8970" max="8970" width="11.25" style="96" bestFit="1" customWidth="1"/>
    <col min="8971" max="8971" width="10.875" style="96" customWidth="1"/>
    <col min="8972" max="8974" width="10" style="96" customWidth="1"/>
    <col min="8975" max="8975" width="13.625" style="96" bestFit="1" customWidth="1"/>
    <col min="8976" max="9216" width="9" style="96"/>
    <col min="9217" max="9217" width="13.875" style="96" bestFit="1" customWidth="1"/>
    <col min="9218" max="9218" width="9" style="96"/>
    <col min="9219" max="9220" width="11.375" style="96" customWidth="1"/>
    <col min="9221" max="9221" width="11.75" style="96" bestFit="1" customWidth="1"/>
    <col min="9222" max="9225" width="10.875" style="96" bestFit="1" customWidth="1"/>
    <col min="9226" max="9226" width="11.25" style="96" bestFit="1" customWidth="1"/>
    <col min="9227" max="9227" width="10.875" style="96" customWidth="1"/>
    <col min="9228" max="9230" width="10" style="96" customWidth="1"/>
    <col min="9231" max="9231" width="13.625" style="96" bestFit="1" customWidth="1"/>
    <col min="9232" max="9472" width="9" style="96"/>
    <col min="9473" max="9473" width="13.875" style="96" bestFit="1" customWidth="1"/>
    <col min="9474" max="9474" width="9" style="96"/>
    <col min="9475" max="9476" width="11.375" style="96" customWidth="1"/>
    <col min="9477" max="9477" width="11.75" style="96" bestFit="1" customWidth="1"/>
    <col min="9478" max="9481" width="10.875" style="96" bestFit="1" customWidth="1"/>
    <col min="9482" max="9482" width="11.25" style="96" bestFit="1" customWidth="1"/>
    <col min="9483" max="9483" width="10.875" style="96" customWidth="1"/>
    <col min="9484" max="9486" width="10" style="96" customWidth="1"/>
    <col min="9487" max="9487" width="13.625" style="96" bestFit="1" customWidth="1"/>
    <col min="9488" max="9728" width="9" style="96"/>
    <col min="9729" max="9729" width="13.875" style="96" bestFit="1" customWidth="1"/>
    <col min="9730" max="9730" width="9" style="96"/>
    <col min="9731" max="9732" width="11.375" style="96" customWidth="1"/>
    <col min="9733" max="9733" width="11.75" style="96" bestFit="1" customWidth="1"/>
    <col min="9734" max="9737" width="10.875" style="96" bestFit="1" customWidth="1"/>
    <col min="9738" max="9738" width="11.25" style="96" bestFit="1" customWidth="1"/>
    <col min="9739" max="9739" width="10.875" style="96" customWidth="1"/>
    <col min="9740" max="9742" width="10" style="96" customWidth="1"/>
    <col min="9743" max="9743" width="13.625" style="96" bestFit="1" customWidth="1"/>
    <col min="9744" max="9984" width="9" style="96"/>
    <col min="9985" max="9985" width="13.875" style="96" bestFit="1" customWidth="1"/>
    <col min="9986" max="9986" width="9" style="96"/>
    <col min="9987" max="9988" width="11.375" style="96" customWidth="1"/>
    <col min="9989" max="9989" width="11.75" style="96" bestFit="1" customWidth="1"/>
    <col min="9990" max="9993" width="10.875" style="96" bestFit="1" customWidth="1"/>
    <col min="9994" max="9994" width="11.25" style="96" bestFit="1" customWidth="1"/>
    <col min="9995" max="9995" width="10.875" style="96" customWidth="1"/>
    <col min="9996" max="9998" width="10" style="96" customWidth="1"/>
    <col min="9999" max="9999" width="13.625" style="96" bestFit="1" customWidth="1"/>
    <col min="10000" max="10240" width="9" style="96"/>
    <col min="10241" max="10241" width="13.875" style="96" bestFit="1" customWidth="1"/>
    <col min="10242" max="10242" width="9" style="96"/>
    <col min="10243" max="10244" width="11.375" style="96" customWidth="1"/>
    <col min="10245" max="10245" width="11.75" style="96" bestFit="1" customWidth="1"/>
    <col min="10246" max="10249" width="10.875" style="96" bestFit="1" customWidth="1"/>
    <col min="10250" max="10250" width="11.25" style="96" bestFit="1" customWidth="1"/>
    <col min="10251" max="10251" width="10.875" style="96" customWidth="1"/>
    <col min="10252" max="10254" width="10" style="96" customWidth="1"/>
    <col min="10255" max="10255" width="13.625" style="96" bestFit="1" customWidth="1"/>
    <col min="10256" max="10496" width="9" style="96"/>
    <col min="10497" max="10497" width="13.875" style="96" bestFit="1" customWidth="1"/>
    <col min="10498" max="10498" width="9" style="96"/>
    <col min="10499" max="10500" width="11.375" style="96" customWidth="1"/>
    <col min="10501" max="10501" width="11.75" style="96" bestFit="1" customWidth="1"/>
    <col min="10502" max="10505" width="10.875" style="96" bestFit="1" customWidth="1"/>
    <col min="10506" max="10506" width="11.25" style="96" bestFit="1" customWidth="1"/>
    <col min="10507" max="10507" width="10.875" style="96" customWidth="1"/>
    <col min="10508" max="10510" width="10" style="96" customWidth="1"/>
    <col min="10511" max="10511" width="13.625" style="96" bestFit="1" customWidth="1"/>
    <col min="10512" max="10752" width="9" style="96"/>
    <col min="10753" max="10753" width="13.875" style="96" bestFit="1" customWidth="1"/>
    <col min="10754" max="10754" width="9" style="96"/>
    <col min="10755" max="10756" width="11.375" style="96" customWidth="1"/>
    <col min="10757" max="10757" width="11.75" style="96" bestFit="1" customWidth="1"/>
    <col min="10758" max="10761" width="10.875" style="96" bestFit="1" customWidth="1"/>
    <col min="10762" max="10762" width="11.25" style="96" bestFit="1" customWidth="1"/>
    <col min="10763" max="10763" width="10.875" style="96" customWidth="1"/>
    <col min="10764" max="10766" width="10" style="96" customWidth="1"/>
    <col min="10767" max="10767" width="13.625" style="96" bestFit="1" customWidth="1"/>
    <col min="10768" max="11008" width="9" style="96"/>
    <col min="11009" max="11009" width="13.875" style="96" bestFit="1" customWidth="1"/>
    <col min="11010" max="11010" width="9" style="96"/>
    <col min="11011" max="11012" width="11.375" style="96" customWidth="1"/>
    <col min="11013" max="11013" width="11.75" style="96" bestFit="1" customWidth="1"/>
    <col min="11014" max="11017" width="10.875" style="96" bestFit="1" customWidth="1"/>
    <col min="11018" max="11018" width="11.25" style="96" bestFit="1" customWidth="1"/>
    <col min="11019" max="11019" width="10.875" style="96" customWidth="1"/>
    <col min="11020" max="11022" width="10" style="96" customWidth="1"/>
    <col min="11023" max="11023" width="13.625" style="96" bestFit="1" customWidth="1"/>
    <col min="11024" max="11264" width="9" style="96"/>
    <col min="11265" max="11265" width="13.875" style="96" bestFit="1" customWidth="1"/>
    <col min="11266" max="11266" width="9" style="96"/>
    <col min="11267" max="11268" width="11.375" style="96" customWidth="1"/>
    <col min="11269" max="11269" width="11.75" style="96" bestFit="1" customWidth="1"/>
    <col min="11270" max="11273" width="10.875" style="96" bestFit="1" customWidth="1"/>
    <col min="11274" max="11274" width="11.25" style="96" bestFit="1" customWidth="1"/>
    <col min="11275" max="11275" width="10.875" style="96" customWidth="1"/>
    <col min="11276" max="11278" width="10" style="96" customWidth="1"/>
    <col min="11279" max="11279" width="13.625" style="96" bestFit="1" customWidth="1"/>
    <col min="11280" max="11520" width="9" style="96"/>
    <col min="11521" max="11521" width="13.875" style="96" bestFit="1" customWidth="1"/>
    <col min="11522" max="11522" width="9" style="96"/>
    <col min="11523" max="11524" width="11.375" style="96" customWidth="1"/>
    <col min="11525" max="11525" width="11.75" style="96" bestFit="1" customWidth="1"/>
    <col min="11526" max="11529" width="10.875" style="96" bestFit="1" customWidth="1"/>
    <col min="11530" max="11530" width="11.25" style="96" bestFit="1" customWidth="1"/>
    <col min="11531" max="11531" width="10.875" style="96" customWidth="1"/>
    <col min="11532" max="11534" width="10" style="96" customWidth="1"/>
    <col min="11535" max="11535" width="13.625" style="96" bestFit="1" customWidth="1"/>
    <col min="11536" max="11776" width="9" style="96"/>
    <col min="11777" max="11777" width="13.875" style="96" bestFit="1" customWidth="1"/>
    <col min="11778" max="11778" width="9" style="96"/>
    <col min="11779" max="11780" width="11.375" style="96" customWidth="1"/>
    <col min="11781" max="11781" width="11.75" style="96" bestFit="1" customWidth="1"/>
    <col min="11782" max="11785" width="10.875" style="96" bestFit="1" customWidth="1"/>
    <col min="11786" max="11786" width="11.25" style="96" bestFit="1" customWidth="1"/>
    <col min="11787" max="11787" width="10.875" style="96" customWidth="1"/>
    <col min="11788" max="11790" width="10" style="96" customWidth="1"/>
    <col min="11791" max="11791" width="13.625" style="96" bestFit="1" customWidth="1"/>
    <col min="11792" max="12032" width="9" style="96"/>
    <col min="12033" max="12033" width="13.875" style="96" bestFit="1" customWidth="1"/>
    <col min="12034" max="12034" width="9" style="96"/>
    <col min="12035" max="12036" width="11.375" style="96" customWidth="1"/>
    <col min="12037" max="12037" width="11.75" style="96" bestFit="1" customWidth="1"/>
    <col min="12038" max="12041" width="10.875" style="96" bestFit="1" customWidth="1"/>
    <col min="12042" max="12042" width="11.25" style="96" bestFit="1" customWidth="1"/>
    <col min="12043" max="12043" width="10.875" style="96" customWidth="1"/>
    <col min="12044" max="12046" width="10" style="96" customWidth="1"/>
    <col min="12047" max="12047" width="13.625" style="96" bestFit="1" customWidth="1"/>
    <col min="12048" max="12288" width="9" style="96"/>
    <col min="12289" max="12289" width="13.875" style="96" bestFit="1" customWidth="1"/>
    <col min="12290" max="12290" width="9" style="96"/>
    <col min="12291" max="12292" width="11.375" style="96" customWidth="1"/>
    <col min="12293" max="12293" width="11.75" style="96" bestFit="1" customWidth="1"/>
    <col min="12294" max="12297" width="10.875" style="96" bestFit="1" customWidth="1"/>
    <col min="12298" max="12298" width="11.25" style="96" bestFit="1" customWidth="1"/>
    <col min="12299" max="12299" width="10.875" style="96" customWidth="1"/>
    <col min="12300" max="12302" width="10" style="96" customWidth="1"/>
    <col min="12303" max="12303" width="13.625" style="96" bestFit="1" customWidth="1"/>
    <col min="12304" max="12544" width="9" style="96"/>
    <col min="12545" max="12545" width="13.875" style="96" bestFit="1" customWidth="1"/>
    <col min="12546" max="12546" width="9" style="96"/>
    <col min="12547" max="12548" width="11.375" style="96" customWidth="1"/>
    <col min="12549" max="12549" width="11.75" style="96" bestFit="1" customWidth="1"/>
    <col min="12550" max="12553" width="10.875" style="96" bestFit="1" customWidth="1"/>
    <col min="12554" max="12554" width="11.25" style="96" bestFit="1" customWidth="1"/>
    <col min="12555" max="12555" width="10.875" style="96" customWidth="1"/>
    <col min="12556" max="12558" width="10" style="96" customWidth="1"/>
    <col min="12559" max="12559" width="13.625" style="96" bestFit="1" customWidth="1"/>
    <col min="12560" max="12800" width="9" style="96"/>
    <col min="12801" max="12801" width="13.875" style="96" bestFit="1" customWidth="1"/>
    <col min="12802" max="12802" width="9" style="96"/>
    <col min="12803" max="12804" width="11.375" style="96" customWidth="1"/>
    <col min="12805" max="12805" width="11.75" style="96" bestFit="1" customWidth="1"/>
    <col min="12806" max="12809" width="10.875" style="96" bestFit="1" customWidth="1"/>
    <col min="12810" max="12810" width="11.25" style="96" bestFit="1" customWidth="1"/>
    <col min="12811" max="12811" width="10.875" style="96" customWidth="1"/>
    <col min="12812" max="12814" width="10" style="96" customWidth="1"/>
    <col min="12815" max="12815" width="13.625" style="96" bestFit="1" customWidth="1"/>
    <col min="12816" max="13056" width="9" style="96"/>
    <col min="13057" max="13057" width="13.875" style="96" bestFit="1" customWidth="1"/>
    <col min="13058" max="13058" width="9" style="96"/>
    <col min="13059" max="13060" width="11.375" style="96" customWidth="1"/>
    <col min="13061" max="13061" width="11.75" style="96" bestFit="1" customWidth="1"/>
    <col min="13062" max="13065" width="10.875" style="96" bestFit="1" customWidth="1"/>
    <col min="13066" max="13066" width="11.25" style="96" bestFit="1" customWidth="1"/>
    <col min="13067" max="13067" width="10.875" style="96" customWidth="1"/>
    <col min="13068" max="13070" width="10" style="96" customWidth="1"/>
    <col min="13071" max="13071" width="13.625" style="96" bestFit="1" customWidth="1"/>
    <col min="13072" max="13312" width="9" style="96"/>
    <col min="13313" max="13313" width="13.875" style="96" bestFit="1" customWidth="1"/>
    <col min="13314" max="13314" width="9" style="96"/>
    <col min="13315" max="13316" width="11.375" style="96" customWidth="1"/>
    <col min="13317" max="13317" width="11.75" style="96" bestFit="1" customWidth="1"/>
    <col min="13318" max="13321" width="10.875" style="96" bestFit="1" customWidth="1"/>
    <col min="13322" max="13322" width="11.25" style="96" bestFit="1" customWidth="1"/>
    <col min="13323" max="13323" width="10.875" style="96" customWidth="1"/>
    <col min="13324" max="13326" width="10" style="96" customWidth="1"/>
    <col min="13327" max="13327" width="13.625" style="96" bestFit="1" customWidth="1"/>
    <col min="13328" max="13568" width="9" style="96"/>
    <col min="13569" max="13569" width="13.875" style="96" bestFit="1" customWidth="1"/>
    <col min="13570" max="13570" width="9" style="96"/>
    <col min="13571" max="13572" width="11.375" style="96" customWidth="1"/>
    <col min="13573" max="13573" width="11.75" style="96" bestFit="1" customWidth="1"/>
    <col min="13574" max="13577" width="10.875" style="96" bestFit="1" customWidth="1"/>
    <col min="13578" max="13578" width="11.25" style="96" bestFit="1" customWidth="1"/>
    <col min="13579" max="13579" width="10.875" style="96" customWidth="1"/>
    <col min="13580" max="13582" width="10" style="96" customWidth="1"/>
    <col min="13583" max="13583" width="13.625" style="96" bestFit="1" customWidth="1"/>
    <col min="13584" max="13824" width="9" style="96"/>
    <col min="13825" max="13825" width="13.875" style="96" bestFit="1" customWidth="1"/>
    <col min="13826" max="13826" width="9" style="96"/>
    <col min="13827" max="13828" width="11.375" style="96" customWidth="1"/>
    <col min="13829" max="13829" width="11.75" style="96" bestFit="1" customWidth="1"/>
    <col min="13830" max="13833" width="10.875" style="96" bestFit="1" customWidth="1"/>
    <col min="13834" max="13834" width="11.25" style="96" bestFit="1" customWidth="1"/>
    <col min="13835" max="13835" width="10.875" style="96" customWidth="1"/>
    <col min="13836" max="13838" width="10" style="96" customWidth="1"/>
    <col min="13839" max="13839" width="13.625" style="96" bestFit="1" customWidth="1"/>
    <col min="13840" max="14080" width="9" style="96"/>
    <col min="14081" max="14081" width="13.875" style="96" bestFit="1" customWidth="1"/>
    <col min="14082" max="14082" width="9" style="96"/>
    <col min="14083" max="14084" width="11.375" style="96" customWidth="1"/>
    <col min="14085" max="14085" width="11.75" style="96" bestFit="1" customWidth="1"/>
    <col min="14086" max="14089" width="10.875" style="96" bestFit="1" customWidth="1"/>
    <col min="14090" max="14090" width="11.25" style="96" bestFit="1" customWidth="1"/>
    <col min="14091" max="14091" width="10.875" style="96" customWidth="1"/>
    <col min="14092" max="14094" width="10" style="96" customWidth="1"/>
    <col min="14095" max="14095" width="13.625" style="96" bestFit="1" customWidth="1"/>
    <col min="14096" max="14336" width="9" style="96"/>
    <col min="14337" max="14337" width="13.875" style="96" bestFit="1" customWidth="1"/>
    <col min="14338" max="14338" width="9" style="96"/>
    <col min="14339" max="14340" width="11.375" style="96" customWidth="1"/>
    <col min="14341" max="14341" width="11.75" style="96" bestFit="1" customWidth="1"/>
    <col min="14342" max="14345" width="10.875" style="96" bestFit="1" customWidth="1"/>
    <col min="14346" max="14346" width="11.25" style="96" bestFit="1" customWidth="1"/>
    <col min="14347" max="14347" width="10.875" style="96" customWidth="1"/>
    <col min="14348" max="14350" width="10" style="96" customWidth="1"/>
    <col min="14351" max="14351" width="13.625" style="96" bestFit="1" customWidth="1"/>
    <col min="14352" max="14592" width="9" style="96"/>
    <col min="14593" max="14593" width="13.875" style="96" bestFit="1" customWidth="1"/>
    <col min="14594" max="14594" width="9" style="96"/>
    <col min="14595" max="14596" width="11.375" style="96" customWidth="1"/>
    <col min="14597" max="14597" width="11.75" style="96" bestFit="1" customWidth="1"/>
    <col min="14598" max="14601" width="10.875" style="96" bestFit="1" customWidth="1"/>
    <col min="14602" max="14602" width="11.25" style="96" bestFit="1" customWidth="1"/>
    <col min="14603" max="14603" width="10.875" style="96" customWidth="1"/>
    <col min="14604" max="14606" width="10" style="96" customWidth="1"/>
    <col min="14607" max="14607" width="13.625" style="96" bestFit="1" customWidth="1"/>
    <col min="14608" max="14848" width="9" style="96"/>
    <col min="14849" max="14849" width="13.875" style="96" bestFit="1" customWidth="1"/>
    <col min="14850" max="14850" width="9" style="96"/>
    <col min="14851" max="14852" width="11.375" style="96" customWidth="1"/>
    <col min="14853" max="14853" width="11.75" style="96" bestFit="1" customWidth="1"/>
    <col min="14854" max="14857" width="10.875" style="96" bestFit="1" customWidth="1"/>
    <col min="14858" max="14858" width="11.25" style="96" bestFit="1" customWidth="1"/>
    <col min="14859" max="14859" width="10.875" style="96" customWidth="1"/>
    <col min="14860" max="14862" width="10" style="96" customWidth="1"/>
    <col min="14863" max="14863" width="13.625" style="96" bestFit="1" customWidth="1"/>
    <col min="14864" max="15104" width="9" style="96"/>
    <col min="15105" max="15105" width="13.875" style="96" bestFit="1" customWidth="1"/>
    <col min="15106" max="15106" width="9" style="96"/>
    <col min="15107" max="15108" width="11.375" style="96" customWidth="1"/>
    <col min="15109" max="15109" width="11.75" style="96" bestFit="1" customWidth="1"/>
    <col min="15110" max="15113" width="10.875" style="96" bestFit="1" customWidth="1"/>
    <col min="15114" max="15114" width="11.25" style="96" bestFit="1" customWidth="1"/>
    <col min="15115" max="15115" width="10.875" style="96" customWidth="1"/>
    <col min="15116" max="15118" width="10" style="96" customWidth="1"/>
    <col min="15119" max="15119" width="13.625" style="96" bestFit="1" customWidth="1"/>
    <col min="15120" max="15360" width="9" style="96"/>
    <col min="15361" max="15361" width="13.875" style="96" bestFit="1" customWidth="1"/>
    <col min="15362" max="15362" width="9" style="96"/>
    <col min="15363" max="15364" width="11.375" style="96" customWidth="1"/>
    <col min="15365" max="15365" width="11.75" style="96" bestFit="1" customWidth="1"/>
    <col min="15366" max="15369" width="10.875" style="96" bestFit="1" customWidth="1"/>
    <col min="15370" max="15370" width="11.25" style="96" bestFit="1" customWidth="1"/>
    <col min="15371" max="15371" width="10.875" style="96" customWidth="1"/>
    <col min="15372" max="15374" width="10" style="96" customWidth="1"/>
    <col min="15375" max="15375" width="13.625" style="96" bestFit="1" customWidth="1"/>
    <col min="15376" max="15616" width="9" style="96"/>
    <col min="15617" max="15617" width="13.875" style="96" bestFit="1" customWidth="1"/>
    <col min="15618" max="15618" width="9" style="96"/>
    <col min="15619" max="15620" width="11.375" style="96" customWidth="1"/>
    <col min="15621" max="15621" width="11.75" style="96" bestFit="1" customWidth="1"/>
    <col min="15622" max="15625" width="10.875" style="96" bestFit="1" customWidth="1"/>
    <col min="15626" max="15626" width="11.25" style="96" bestFit="1" customWidth="1"/>
    <col min="15627" max="15627" width="10.875" style="96" customWidth="1"/>
    <col min="15628" max="15630" width="10" style="96" customWidth="1"/>
    <col min="15631" max="15631" width="13.625" style="96" bestFit="1" customWidth="1"/>
    <col min="15632" max="15872" width="9" style="96"/>
    <col min="15873" max="15873" width="13.875" style="96" bestFit="1" customWidth="1"/>
    <col min="15874" max="15874" width="9" style="96"/>
    <col min="15875" max="15876" width="11.375" style="96" customWidth="1"/>
    <col min="15877" max="15877" width="11.75" style="96" bestFit="1" customWidth="1"/>
    <col min="15878" max="15881" width="10.875" style="96" bestFit="1" customWidth="1"/>
    <col min="15882" max="15882" width="11.25" style="96" bestFit="1" customWidth="1"/>
    <col min="15883" max="15883" width="10.875" style="96" customWidth="1"/>
    <col min="15884" max="15886" width="10" style="96" customWidth="1"/>
    <col min="15887" max="15887" width="13.625" style="96" bestFit="1" customWidth="1"/>
    <col min="15888" max="16128" width="9" style="96"/>
    <col min="16129" max="16129" width="13.875" style="96" bestFit="1" customWidth="1"/>
    <col min="16130" max="16130" width="9" style="96"/>
    <col min="16131" max="16132" width="11.375" style="96" customWidth="1"/>
    <col min="16133" max="16133" width="11.75" style="96" bestFit="1" customWidth="1"/>
    <col min="16134" max="16137" width="10.875" style="96" bestFit="1" customWidth="1"/>
    <col min="16138" max="16138" width="11.25" style="96" bestFit="1" customWidth="1"/>
    <col min="16139" max="16139" width="10.875" style="96" customWidth="1"/>
    <col min="16140" max="16142" width="10" style="96" customWidth="1"/>
    <col min="16143" max="16143" width="13.625" style="96" bestFit="1" customWidth="1"/>
    <col min="16144" max="16384" width="9" style="96"/>
  </cols>
  <sheetData>
    <row r="1" spans="1:15" ht="26.25" customHeight="1" x14ac:dyDescent="0.2">
      <c r="A1" s="268" t="s">
        <v>166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 ht="11.25" customHeight="1" thickBot="1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1:15" ht="16.5" customHeight="1" thickBot="1" x14ac:dyDescent="0.2">
      <c r="A3" s="98" t="s">
        <v>143</v>
      </c>
      <c r="B3" s="99"/>
      <c r="C3" s="100" t="s">
        <v>144</v>
      </c>
      <c r="D3" s="100" t="s">
        <v>145</v>
      </c>
      <c r="E3" s="100" t="s">
        <v>146</v>
      </c>
      <c r="F3" s="100" t="s">
        <v>147</v>
      </c>
      <c r="G3" s="100" t="s">
        <v>148</v>
      </c>
      <c r="H3" s="100" t="s">
        <v>162</v>
      </c>
      <c r="I3" s="100" t="s">
        <v>163</v>
      </c>
      <c r="J3" s="100" t="s">
        <v>149</v>
      </c>
      <c r="K3" s="100" t="s">
        <v>150</v>
      </c>
      <c r="L3" s="100" t="s">
        <v>151</v>
      </c>
      <c r="M3" s="100" t="s">
        <v>152</v>
      </c>
      <c r="N3" s="100" t="s">
        <v>153</v>
      </c>
      <c r="O3" s="100" t="s">
        <v>154</v>
      </c>
    </row>
    <row r="4" spans="1:15" ht="16.5" customHeight="1" x14ac:dyDescent="0.15">
      <c r="A4" s="269"/>
      <c r="B4" s="101" t="s">
        <v>21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3">
        <f>SUM(C4:N4)</f>
        <v>0</v>
      </c>
    </row>
    <row r="5" spans="1:15" ht="16.5" customHeight="1" x14ac:dyDescent="0.15">
      <c r="A5" s="270"/>
      <c r="B5" s="104" t="s">
        <v>155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>
        <f t="shared" ref="O5:O14" si="0">SUM(C5:N5)</f>
        <v>0</v>
      </c>
    </row>
    <row r="6" spans="1:15" ht="16.5" customHeight="1" x14ac:dyDescent="0.15">
      <c r="A6" s="270"/>
      <c r="B6" s="104" t="s">
        <v>156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>
        <f t="shared" si="0"/>
        <v>0</v>
      </c>
    </row>
    <row r="7" spans="1:15" ht="16.5" customHeight="1" x14ac:dyDescent="0.15">
      <c r="A7" s="270"/>
      <c r="B7" s="104" t="s">
        <v>26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>
        <f t="shared" si="0"/>
        <v>0</v>
      </c>
    </row>
    <row r="8" spans="1:15" ht="16.5" customHeight="1" x14ac:dyDescent="0.15">
      <c r="A8" s="270"/>
      <c r="B8" s="104" t="s">
        <v>66</v>
      </c>
      <c r="C8" s="106"/>
      <c r="D8" s="105"/>
      <c r="E8" s="105"/>
      <c r="F8" s="105"/>
      <c r="G8" s="105"/>
      <c r="H8" s="105"/>
      <c r="I8" s="106"/>
      <c r="J8" s="106"/>
      <c r="K8" s="106"/>
      <c r="L8" s="106"/>
      <c r="M8" s="106"/>
      <c r="N8" s="106"/>
      <c r="O8" s="105">
        <f t="shared" si="0"/>
        <v>0</v>
      </c>
    </row>
    <row r="9" spans="1:15" ht="16.5" customHeight="1" x14ac:dyDescent="0.15">
      <c r="A9" s="270"/>
      <c r="B9" s="104" t="s">
        <v>22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>
        <f t="shared" si="0"/>
        <v>0</v>
      </c>
    </row>
    <row r="10" spans="1:15" ht="16.5" customHeight="1" x14ac:dyDescent="0.15">
      <c r="A10" s="270"/>
      <c r="B10" s="104" t="s">
        <v>67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>
        <f t="shared" si="0"/>
        <v>0</v>
      </c>
    </row>
    <row r="11" spans="1:15" ht="16.5" customHeight="1" x14ac:dyDescent="0.15">
      <c r="A11" s="270"/>
      <c r="B11" s="104" t="s">
        <v>23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>
        <f t="shared" si="0"/>
        <v>0</v>
      </c>
    </row>
    <row r="12" spans="1:15" ht="16.5" customHeight="1" x14ac:dyDescent="0.15">
      <c r="A12" s="270"/>
      <c r="B12" s="104" t="s">
        <v>157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>
        <f t="shared" si="0"/>
        <v>0</v>
      </c>
    </row>
    <row r="13" spans="1:15" ht="16.5" customHeight="1" x14ac:dyDescent="0.15">
      <c r="A13" s="270"/>
      <c r="B13" s="104" t="s">
        <v>158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>
        <f t="shared" si="0"/>
        <v>0</v>
      </c>
    </row>
    <row r="14" spans="1:15" ht="16.5" customHeight="1" thickBot="1" x14ac:dyDescent="0.2">
      <c r="A14" s="270"/>
      <c r="B14" s="113" t="s">
        <v>161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8">
        <f t="shared" si="0"/>
        <v>0</v>
      </c>
    </row>
    <row r="15" spans="1:15" ht="16.5" customHeight="1" thickTop="1" x14ac:dyDescent="0.15">
      <c r="A15" s="270"/>
      <c r="B15" s="109" t="s">
        <v>159</v>
      </c>
      <c r="C15" s="110"/>
      <c r="D15" s="110" t="str">
        <f t="shared" ref="D15:M15" si="1">IF(D4="","",D4-SUM(D5:D12))</f>
        <v/>
      </c>
      <c r="E15" s="110" t="str">
        <f>IF(E4="","",E4-SUM(E5:E12))</f>
        <v/>
      </c>
      <c r="F15" s="110" t="str">
        <f t="shared" si="1"/>
        <v/>
      </c>
      <c r="G15" s="110" t="str">
        <f t="shared" si="1"/>
        <v/>
      </c>
      <c r="H15" s="110" t="str">
        <f t="shared" si="1"/>
        <v/>
      </c>
      <c r="I15" s="110" t="str">
        <f t="shared" si="1"/>
        <v/>
      </c>
      <c r="J15" s="110" t="str">
        <f t="shared" si="1"/>
        <v/>
      </c>
      <c r="K15" s="110" t="str">
        <f t="shared" si="1"/>
        <v/>
      </c>
      <c r="L15" s="110" t="str">
        <f t="shared" si="1"/>
        <v/>
      </c>
      <c r="M15" s="110" t="str">
        <f t="shared" si="1"/>
        <v/>
      </c>
      <c r="N15" s="110" t="str">
        <f>IF(N4="","",N4-SUM(N5:N12))</f>
        <v/>
      </c>
      <c r="O15" s="110">
        <f>IF(O4="","",O4-SUM(O5:O12))</f>
        <v>0</v>
      </c>
    </row>
    <row r="16" spans="1:15" ht="16.5" customHeight="1" thickBot="1" x14ac:dyDescent="0.2">
      <c r="A16" s="271"/>
      <c r="B16" s="111" t="s">
        <v>160</v>
      </c>
      <c r="C16" s="112"/>
      <c r="D16" s="112" t="str">
        <f t="shared" ref="D16:N16" si="2">IF(D4="","",IF(D4=0,"―     ",D15/D4))</f>
        <v/>
      </c>
      <c r="E16" s="112" t="str">
        <f t="shared" si="2"/>
        <v/>
      </c>
      <c r="F16" s="112" t="str">
        <f t="shared" si="2"/>
        <v/>
      </c>
      <c r="G16" s="112" t="str">
        <f t="shared" si="2"/>
        <v/>
      </c>
      <c r="H16" s="112" t="str">
        <f t="shared" si="2"/>
        <v/>
      </c>
      <c r="I16" s="112" t="str">
        <f t="shared" si="2"/>
        <v/>
      </c>
      <c r="J16" s="112" t="str">
        <f t="shared" si="2"/>
        <v/>
      </c>
      <c r="K16" s="112" t="str">
        <f t="shared" si="2"/>
        <v/>
      </c>
      <c r="L16" s="112" t="str">
        <f t="shared" si="2"/>
        <v/>
      </c>
      <c r="M16" s="112" t="str">
        <f t="shared" si="2"/>
        <v/>
      </c>
      <c r="N16" s="112" t="str">
        <f t="shared" si="2"/>
        <v/>
      </c>
      <c r="O16" s="112" t="str">
        <f>IF(O4="","",IF(O4=0,"―     ",O15/O4))</f>
        <v xml:space="preserve">―     </v>
      </c>
    </row>
    <row r="17" spans="1:15" ht="16.5" customHeight="1" x14ac:dyDescent="0.15">
      <c r="A17" s="269" t="s">
        <v>154</v>
      </c>
      <c r="B17" s="101" t="s">
        <v>21</v>
      </c>
      <c r="C17" s="102">
        <f>C4</f>
        <v>0</v>
      </c>
      <c r="D17" s="102">
        <f t="shared" ref="D17:N17" si="3">D4</f>
        <v>0</v>
      </c>
      <c r="E17" s="102">
        <f t="shared" si="3"/>
        <v>0</v>
      </c>
      <c r="F17" s="102">
        <f t="shared" si="3"/>
        <v>0</v>
      </c>
      <c r="G17" s="102">
        <f t="shared" si="3"/>
        <v>0</v>
      </c>
      <c r="H17" s="102">
        <f t="shared" si="3"/>
        <v>0</v>
      </c>
      <c r="I17" s="102">
        <f t="shared" si="3"/>
        <v>0</v>
      </c>
      <c r="J17" s="102">
        <f t="shared" si="3"/>
        <v>0</v>
      </c>
      <c r="K17" s="102">
        <f t="shared" si="3"/>
        <v>0</v>
      </c>
      <c r="L17" s="102">
        <f t="shared" si="3"/>
        <v>0</v>
      </c>
      <c r="M17" s="102">
        <f t="shared" si="3"/>
        <v>0</v>
      </c>
      <c r="N17" s="102">
        <f t="shared" si="3"/>
        <v>0</v>
      </c>
      <c r="O17" s="103">
        <f>SUM(C17:N17)</f>
        <v>0</v>
      </c>
    </row>
    <row r="18" spans="1:15" ht="16.5" customHeight="1" x14ac:dyDescent="0.15">
      <c r="A18" s="270"/>
      <c r="B18" s="104" t="s">
        <v>155</v>
      </c>
      <c r="C18" s="105">
        <f t="shared" ref="C18:N27" si="4">C5</f>
        <v>0</v>
      </c>
      <c r="D18" s="105">
        <f t="shared" si="4"/>
        <v>0</v>
      </c>
      <c r="E18" s="105">
        <f t="shared" si="4"/>
        <v>0</v>
      </c>
      <c r="F18" s="105">
        <f t="shared" si="4"/>
        <v>0</v>
      </c>
      <c r="G18" s="105">
        <f t="shared" si="4"/>
        <v>0</v>
      </c>
      <c r="H18" s="105">
        <f t="shared" si="4"/>
        <v>0</v>
      </c>
      <c r="I18" s="105">
        <f t="shared" si="4"/>
        <v>0</v>
      </c>
      <c r="J18" s="105">
        <f t="shared" si="4"/>
        <v>0</v>
      </c>
      <c r="K18" s="105">
        <f t="shared" si="4"/>
        <v>0</v>
      </c>
      <c r="L18" s="105">
        <f t="shared" si="4"/>
        <v>0</v>
      </c>
      <c r="M18" s="105">
        <f t="shared" si="4"/>
        <v>0</v>
      </c>
      <c r="N18" s="105">
        <f t="shared" si="4"/>
        <v>0</v>
      </c>
      <c r="O18" s="105">
        <f t="shared" ref="O18:O27" si="5">SUM(C18:N18)</f>
        <v>0</v>
      </c>
    </row>
    <row r="19" spans="1:15" ht="16.5" customHeight="1" x14ac:dyDescent="0.15">
      <c r="A19" s="270"/>
      <c r="B19" s="104" t="s">
        <v>156</v>
      </c>
      <c r="C19" s="105">
        <f t="shared" si="4"/>
        <v>0</v>
      </c>
      <c r="D19" s="105">
        <f t="shared" si="4"/>
        <v>0</v>
      </c>
      <c r="E19" s="105">
        <f t="shared" si="4"/>
        <v>0</v>
      </c>
      <c r="F19" s="105">
        <f t="shared" si="4"/>
        <v>0</v>
      </c>
      <c r="G19" s="105">
        <f t="shared" si="4"/>
        <v>0</v>
      </c>
      <c r="H19" s="105">
        <f t="shared" si="4"/>
        <v>0</v>
      </c>
      <c r="I19" s="105">
        <f t="shared" si="4"/>
        <v>0</v>
      </c>
      <c r="J19" s="105">
        <f t="shared" si="4"/>
        <v>0</v>
      </c>
      <c r="K19" s="105">
        <f t="shared" si="4"/>
        <v>0</v>
      </c>
      <c r="L19" s="105">
        <f t="shared" si="4"/>
        <v>0</v>
      </c>
      <c r="M19" s="105">
        <f t="shared" si="4"/>
        <v>0</v>
      </c>
      <c r="N19" s="105">
        <f t="shared" si="4"/>
        <v>0</v>
      </c>
      <c r="O19" s="105">
        <f t="shared" si="5"/>
        <v>0</v>
      </c>
    </row>
    <row r="20" spans="1:15" ht="16.5" customHeight="1" x14ac:dyDescent="0.15">
      <c r="A20" s="270"/>
      <c r="B20" s="104" t="s">
        <v>26</v>
      </c>
      <c r="C20" s="105">
        <f t="shared" si="4"/>
        <v>0</v>
      </c>
      <c r="D20" s="105">
        <f t="shared" si="4"/>
        <v>0</v>
      </c>
      <c r="E20" s="105">
        <f t="shared" si="4"/>
        <v>0</v>
      </c>
      <c r="F20" s="105">
        <f t="shared" si="4"/>
        <v>0</v>
      </c>
      <c r="G20" s="105">
        <f t="shared" si="4"/>
        <v>0</v>
      </c>
      <c r="H20" s="105">
        <f t="shared" si="4"/>
        <v>0</v>
      </c>
      <c r="I20" s="105">
        <f t="shared" si="4"/>
        <v>0</v>
      </c>
      <c r="J20" s="105">
        <f t="shared" si="4"/>
        <v>0</v>
      </c>
      <c r="K20" s="105">
        <f t="shared" si="4"/>
        <v>0</v>
      </c>
      <c r="L20" s="105">
        <f t="shared" si="4"/>
        <v>0</v>
      </c>
      <c r="M20" s="105">
        <f t="shared" si="4"/>
        <v>0</v>
      </c>
      <c r="N20" s="105">
        <f t="shared" si="4"/>
        <v>0</v>
      </c>
      <c r="O20" s="105">
        <f t="shared" si="5"/>
        <v>0</v>
      </c>
    </row>
    <row r="21" spans="1:15" ht="16.5" customHeight="1" x14ac:dyDescent="0.15">
      <c r="A21" s="270"/>
      <c r="B21" s="104" t="s">
        <v>66</v>
      </c>
      <c r="C21" s="106">
        <f t="shared" si="4"/>
        <v>0</v>
      </c>
      <c r="D21" s="106">
        <f t="shared" si="4"/>
        <v>0</v>
      </c>
      <c r="E21" s="106">
        <f t="shared" si="4"/>
        <v>0</v>
      </c>
      <c r="F21" s="106">
        <f t="shared" si="4"/>
        <v>0</v>
      </c>
      <c r="G21" s="106">
        <f t="shared" si="4"/>
        <v>0</v>
      </c>
      <c r="H21" s="106">
        <f t="shared" si="4"/>
        <v>0</v>
      </c>
      <c r="I21" s="106">
        <f t="shared" si="4"/>
        <v>0</v>
      </c>
      <c r="J21" s="106">
        <f t="shared" si="4"/>
        <v>0</v>
      </c>
      <c r="K21" s="106">
        <f t="shared" si="4"/>
        <v>0</v>
      </c>
      <c r="L21" s="106">
        <f t="shared" si="4"/>
        <v>0</v>
      </c>
      <c r="M21" s="106">
        <f t="shared" si="4"/>
        <v>0</v>
      </c>
      <c r="N21" s="106">
        <f t="shared" si="4"/>
        <v>0</v>
      </c>
      <c r="O21" s="105">
        <f t="shared" si="5"/>
        <v>0</v>
      </c>
    </row>
    <row r="22" spans="1:15" ht="16.5" customHeight="1" x14ac:dyDescent="0.15">
      <c r="A22" s="270"/>
      <c r="B22" s="104" t="s">
        <v>22</v>
      </c>
      <c r="C22" s="105">
        <f t="shared" si="4"/>
        <v>0</v>
      </c>
      <c r="D22" s="105">
        <f t="shared" si="4"/>
        <v>0</v>
      </c>
      <c r="E22" s="105">
        <f t="shared" si="4"/>
        <v>0</v>
      </c>
      <c r="F22" s="105">
        <f t="shared" si="4"/>
        <v>0</v>
      </c>
      <c r="G22" s="105">
        <f t="shared" si="4"/>
        <v>0</v>
      </c>
      <c r="H22" s="105">
        <f t="shared" si="4"/>
        <v>0</v>
      </c>
      <c r="I22" s="105">
        <f t="shared" si="4"/>
        <v>0</v>
      </c>
      <c r="J22" s="105">
        <f t="shared" si="4"/>
        <v>0</v>
      </c>
      <c r="K22" s="105">
        <f t="shared" si="4"/>
        <v>0</v>
      </c>
      <c r="L22" s="105">
        <f t="shared" si="4"/>
        <v>0</v>
      </c>
      <c r="M22" s="105">
        <f t="shared" si="4"/>
        <v>0</v>
      </c>
      <c r="N22" s="105">
        <f t="shared" si="4"/>
        <v>0</v>
      </c>
      <c r="O22" s="105">
        <f t="shared" si="5"/>
        <v>0</v>
      </c>
    </row>
    <row r="23" spans="1:15" ht="16.5" customHeight="1" x14ac:dyDescent="0.15">
      <c r="A23" s="270"/>
      <c r="B23" s="104" t="s">
        <v>67</v>
      </c>
      <c r="C23" s="105">
        <f t="shared" si="4"/>
        <v>0</v>
      </c>
      <c r="D23" s="105">
        <f t="shared" si="4"/>
        <v>0</v>
      </c>
      <c r="E23" s="105">
        <f t="shared" si="4"/>
        <v>0</v>
      </c>
      <c r="F23" s="105">
        <f t="shared" si="4"/>
        <v>0</v>
      </c>
      <c r="G23" s="105">
        <f t="shared" si="4"/>
        <v>0</v>
      </c>
      <c r="H23" s="105">
        <f t="shared" si="4"/>
        <v>0</v>
      </c>
      <c r="I23" s="105">
        <f t="shared" si="4"/>
        <v>0</v>
      </c>
      <c r="J23" s="105">
        <f t="shared" si="4"/>
        <v>0</v>
      </c>
      <c r="K23" s="105">
        <f t="shared" si="4"/>
        <v>0</v>
      </c>
      <c r="L23" s="105">
        <f t="shared" si="4"/>
        <v>0</v>
      </c>
      <c r="M23" s="105">
        <f t="shared" si="4"/>
        <v>0</v>
      </c>
      <c r="N23" s="105">
        <f t="shared" si="4"/>
        <v>0</v>
      </c>
      <c r="O23" s="105">
        <f t="shared" si="5"/>
        <v>0</v>
      </c>
    </row>
    <row r="24" spans="1:15" ht="16.5" customHeight="1" x14ac:dyDescent="0.15">
      <c r="A24" s="270"/>
      <c r="B24" s="104" t="s">
        <v>23</v>
      </c>
      <c r="C24" s="105">
        <f t="shared" si="4"/>
        <v>0</v>
      </c>
      <c r="D24" s="105">
        <f t="shared" si="4"/>
        <v>0</v>
      </c>
      <c r="E24" s="105">
        <f t="shared" si="4"/>
        <v>0</v>
      </c>
      <c r="F24" s="105">
        <f t="shared" si="4"/>
        <v>0</v>
      </c>
      <c r="G24" s="105">
        <f t="shared" si="4"/>
        <v>0</v>
      </c>
      <c r="H24" s="105">
        <f t="shared" si="4"/>
        <v>0</v>
      </c>
      <c r="I24" s="105">
        <f t="shared" si="4"/>
        <v>0</v>
      </c>
      <c r="J24" s="105">
        <f t="shared" si="4"/>
        <v>0</v>
      </c>
      <c r="K24" s="105">
        <f t="shared" si="4"/>
        <v>0</v>
      </c>
      <c r="L24" s="105">
        <f t="shared" si="4"/>
        <v>0</v>
      </c>
      <c r="M24" s="105">
        <f t="shared" si="4"/>
        <v>0</v>
      </c>
      <c r="N24" s="105">
        <f t="shared" si="4"/>
        <v>0</v>
      </c>
      <c r="O24" s="105">
        <f t="shared" si="5"/>
        <v>0</v>
      </c>
    </row>
    <row r="25" spans="1:15" ht="16.5" customHeight="1" x14ac:dyDescent="0.15">
      <c r="A25" s="270"/>
      <c r="B25" s="104" t="s">
        <v>157</v>
      </c>
      <c r="C25" s="105">
        <f t="shared" si="4"/>
        <v>0</v>
      </c>
      <c r="D25" s="105">
        <f t="shared" si="4"/>
        <v>0</v>
      </c>
      <c r="E25" s="105">
        <f t="shared" si="4"/>
        <v>0</v>
      </c>
      <c r="F25" s="105">
        <f t="shared" si="4"/>
        <v>0</v>
      </c>
      <c r="G25" s="105">
        <f t="shared" si="4"/>
        <v>0</v>
      </c>
      <c r="H25" s="105">
        <f t="shared" si="4"/>
        <v>0</v>
      </c>
      <c r="I25" s="105">
        <f t="shared" si="4"/>
        <v>0</v>
      </c>
      <c r="J25" s="105">
        <f t="shared" si="4"/>
        <v>0</v>
      </c>
      <c r="K25" s="105">
        <f t="shared" si="4"/>
        <v>0</v>
      </c>
      <c r="L25" s="105">
        <f t="shared" si="4"/>
        <v>0</v>
      </c>
      <c r="M25" s="105">
        <f t="shared" si="4"/>
        <v>0</v>
      </c>
      <c r="N25" s="105">
        <f t="shared" si="4"/>
        <v>0</v>
      </c>
      <c r="O25" s="105">
        <f t="shared" si="5"/>
        <v>0</v>
      </c>
    </row>
    <row r="26" spans="1:15" ht="16.5" customHeight="1" x14ac:dyDescent="0.15">
      <c r="A26" s="270"/>
      <c r="B26" s="104" t="s">
        <v>158</v>
      </c>
      <c r="C26" s="105">
        <f t="shared" si="4"/>
        <v>0</v>
      </c>
      <c r="D26" s="105">
        <f t="shared" si="4"/>
        <v>0</v>
      </c>
      <c r="E26" s="105">
        <f t="shared" si="4"/>
        <v>0</v>
      </c>
      <c r="F26" s="105">
        <f t="shared" si="4"/>
        <v>0</v>
      </c>
      <c r="G26" s="105">
        <f t="shared" si="4"/>
        <v>0</v>
      </c>
      <c r="H26" s="105">
        <f t="shared" si="4"/>
        <v>0</v>
      </c>
      <c r="I26" s="105">
        <f t="shared" si="4"/>
        <v>0</v>
      </c>
      <c r="J26" s="105">
        <f t="shared" si="4"/>
        <v>0</v>
      </c>
      <c r="K26" s="105">
        <f t="shared" si="4"/>
        <v>0</v>
      </c>
      <c r="L26" s="105">
        <f t="shared" si="4"/>
        <v>0</v>
      </c>
      <c r="M26" s="105">
        <f t="shared" si="4"/>
        <v>0</v>
      </c>
      <c r="N26" s="105">
        <f t="shared" si="4"/>
        <v>0</v>
      </c>
      <c r="O26" s="105">
        <f t="shared" si="5"/>
        <v>0</v>
      </c>
    </row>
    <row r="27" spans="1:15" ht="16.5" customHeight="1" thickBot="1" x14ac:dyDescent="0.2">
      <c r="A27" s="270"/>
      <c r="B27" s="113" t="s">
        <v>161</v>
      </c>
      <c r="C27" s="107">
        <f t="shared" si="4"/>
        <v>0</v>
      </c>
      <c r="D27" s="107">
        <f t="shared" si="4"/>
        <v>0</v>
      </c>
      <c r="E27" s="107">
        <f t="shared" si="4"/>
        <v>0</v>
      </c>
      <c r="F27" s="107">
        <f t="shared" si="4"/>
        <v>0</v>
      </c>
      <c r="G27" s="107">
        <f t="shared" si="4"/>
        <v>0</v>
      </c>
      <c r="H27" s="107">
        <f t="shared" si="4"/>
        <v>0</v>
      </c>
      <c r="I27" s="107">
        <f t="shared" si="4"/>
        <v>0</v>
      </c>
      <c r="J27" s="107">
        <f t="shared" si="4"/>
        <v>0</v>
      </c>
      <c r="K27" s="107">
        <f t="shared" si="4"/>
        <v>0</v>
      </c>
      <c r="L27" s="107">
        <f t="shared" si="4"/>
        <v>0</v>
      </c>
      <c r="M27" s="107">
        <f t="shared" si="4"/>
        <v>0</v>
      </c>
      <c r="N27" s="107">
        <f t="shared" si="4"/>
        <v>0</v>
      </c>
      <c r="O27" s="108">
        <f t="shared" si="5"/>
        <v>0</v>
      </c>
    </row>
    <row r="28" spans="1:15" ht="16.5" customHeight="1" thickTop="1" x14ac:dyDescent="0.15">
      <c r="A28" s="270"/>
      <c r="B28" s="109" t="s">
        <v>159</v>
      </c>
      <c r="C28" s="110">
        <f>IF(C17="","",C17-SUM(C18:C25))</f>
        <v>0</v>
      </c>
      <c r="D28" s="110">
        <f>IF(D17="","",D17-SUM(D18:D25))</f>
        <v>0</v>
      </c>
      <c r="E28" s="110">
        <f>IF(E17="","",E17-SUM(E18:E25))</f>
        <v>0</v>
      </c>
      <c r="F28" s="110">
        <f t="shared" ref="F28:M28" si="6">IF(F17="","",F17-SUM(F18:F25))</f>
        <v>0</v>
      </c>
      <c r="G28" s="110">
        <f t="shared" si="6"/>
        <v>0</v>
      </c>
      <c r="H28" s="110">
        <f t="shared" si="6"/>
        <v>0</v>
      </c>
      <c r="I28" s="110">
        <f t="shared" si="6"/>
        <v>0</v>
      </c>
      <c r="J28" s="110">
        <f t="shared" si="6"/>
        <v>0</v>
      </c>
      <c r="K28" s="110">
        <f t="shared" si="6"/>
        <v>0</v>
      </c>
      <c r="L28" s="110">
        <f t="shared" si="6"/>
        <v>0</v>
      </c>
      <c r="M28" s="110">
        <f t="shared" si="6"/>
        <v>0</v>
      </c>
      <c r="N28" s="110">
        <f>IF(N17="","",N17-SUM(N18:N25))</f>
        <v>0</v>
      </c>
      <c r="O28" s="110">
        <f>IF(O17="","",O17-SUM(O18:O25))</f>
        <v>0</v>
      </c>
    </row>
    <row r="29" spans="1:15" ht="16.5" customHeight="1" thickBot="1" x14ac:dyDescent="0.2">
      <c r="A29" s="271"/>
      <c r="B29" s="111" t="s">
        <v>160</v>
      </c>
      <c r="C29" s="112" t="str">
        <f>IF(C17="","",IF(C17=0,"―     ",C28/C17))</f>
        <v xml:space="preserve">―     </v>
      </c>
      <c r="D29" s="112" t="str">
        <f t="shared" ref="D29:N29" si="7">IF(D17="","",IF(D17=0,"―     ",D28/D17))</f>
        <v xml:space="preserve">―     </v>
      </c>
      <c r="E29" s="112" t="str">
        <f t="shared" si="7"/>
        <v xml:space="preserve">―     </v>
      </c>
      <c r="F29" s="112" t="str">
        <f t="shared" si="7"/>
        <v xml:space="preserve">―     </v>
      </c>
      <c r="G29" s="112" t="str">
        <f t="shared" si="7"/>
        <v xml:space="preserve">―     </v>
      </c>
      <c r="H29" s="112" t="str">
        <f t="shared" si="7"/>
        <v xml:space="preserve">―     </v>
      </c>
      <c r="I29" s="112" t="str">
        <f t="shared" si="7"/>
        <v xml:space="preserve">―     </v>
      </c>
      <c r="J29" s="112" t="str">
        <f t="shared" si="7"/>
        <v xml:space="preserve">―     </v>
      </c>
      <c r="K29" s="112" t="str">
        <f t="shared" si="7"/>
        <v xml:space="preserve">―     </v>
      </c>
      <c r="L29" s="112" t="str">
        <f t="shared" si="7"/>
        <v xml:space="preserve">―     </v>
      </c>
      <c r="M29" s="112" t="str">
        <f t="shared" si="7"/>
        <v xml:space="preserve">―     </v>
      </c>
      <c r="N29" s="112" t="str">
        <f t="shared" si="7"/>
        <v xml:space="preserve">―     </v>
      </c>
      <c r="O29" s="112" t="str">
        <f>IF(O17="","",IF(O17=0,"―     ",O28/O17))</f>
        <v xml:space="preserve">―     </v>
      </c>
    </row>
    <row r="35" spans="7:7" x14ac:dyDescent="0.15">
      <c r="G35" s="114"/>
    </row>
    <row r="36" spans="7:7" x14ac:dyDescent="0.15">
      <c r="G36" s="114"/>
    </row>
  </sheetData>
  <autoFilter ref="A3:O29" xr:uid="{00000000-0009-0000-0000-00000D000000}"/>
  <mergeCells count="3">
    <mergeCell ref="A1:O1"/>
    <mergeCell ref="A4:A16"/>
    <mergeCell ref="A17:A29"/>
  </mergeCells>
  <phoneticPr fontId="3"/>
  <pageMargins left="0.19685039370078741" right="0.19685039370078741" top="0.19685039370078741" bottom="0.19685039370078741" header="0.19685039370078741" footer="0.19685039370078741"/>
  <pageSetup paperSize="9" scale="87" orientation="landscape" r:id="rId1"/>
  <headerFooter alignWithMargins="0">
    <oddHeader>&amp;R&amp;D  &amp;T</oddHeader>
    <oddFooter>&amp;C&amp;P/&amp;N&amp;R㈱タスクフォース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C52"/>
  <sheetViews>
    <sheetView workbookViewId="0">
      <pane ySplit="2" topLeftCell="A18" activePane="bottomLeft" state="frozen"/>
      <selection activeCell="K4" sqref="K4:K315"/>
      <selection pane="bottomLeft" activeCell="K4" sqref="K4:K315"/>
    </sheetView>
  </sheetViews>
  <sheetFormatPr defaultRowHeight="13.5" x14ac:dyDescent="0.15"/>
  <cols>
    <col min="1" max="1" width="15.875" customWidth="1"/>
    <col min="2" max="2" width="20.5" customWidth="1"/>
    <col min="3" max="3" width="63.125" customWidth="1"/>
  </cols>
  <sheetData>
    <row r="1" spans="1:3" ht="29.25" customHeight="1" thickBot="1" x14ac:dyDescent="0.2">
      <c r="A1" t="s">
        <v>126</v>
      </c>
      <c r="C1" s="88" t="s">
        <v>130</v>
      </c>
    </row>
    <row r="2" spans="1:3" ht="29.25" customHeight="1" thickBot="1" x14ac:dyDescent="0.2">
      <c r="A2" s="85" t="s">
        <v>127</v>
      </c>
      <c r="B2" s="86" t="s">
        <v>128</v>
      </c>
      <c r="C2" s="87" t="s">
        <v>129</v>
      </c>
    </row>
    <row r="3" spans="1:3" ht="27" customHeight="1" x14ac:dyDescent="0.15">
      <c r="A3" s="272" t="s">
        <v>84</v>
      </c>
      <c r="B3" s="79" t="s">
        <v>64</v>
      </c>
      <c r="C3" s="80" t="s">
        <v>88</v>
      </c>
    </row>
    <row r="4" spans="1:3" ht="27" customHeight="1" x14ac:dyDescent="0.15">
      <c r="A4" s="273"/>
      <c r="B4" s="81" t="s">
        <v>65</v>
      </c>
      <c r="C4" s="82" t="s">
        <v>89</v>
      </c>
    </row>
    <row r="5" spans="1:3" ht="27" customHeight="1" x14ac:dyDescent="0.15">
      <c r="A5" s="273"/>
      <c r="B5" s="81" t="s">
        <v>66</v>
      </c>
      <c r="C5" s="82" t="s">
        <v>90</v>
      </c>
    </row>
    <row r="6" spans="1:3" ht="27" customHeight="1" x14ac:dyDescent="0.15">
      <c r="A6" s="273"/>
      <c r="B6" s="81" t="s">
        <v>22</v>
      </c>
      <c r="C6" s="82" t="s">
        <v>91</v>
      </c>
    </row>
    <row r="7" spans="1:3" ht="27" customHeight="1" x14ac:dyDescent="0.15">
      <c r="A7" s="273"/>
      <c r="B7" s="81" t="s">
        <v>67</v>
      </c>
      <c r="C7" s="82" t="s">
        <v>91</v>
      </c>
    </row>
    <row r="8" spans="1:3" ht="27" customHeight="1" x14ac:dyDescent="0.15">
      <c r="A8" s="273"/>
      <c r="B8" s="81" t="s">
        <v>23</v>
      </c>
      <c r="C8" s="82" t="s">
        <v>91</v>
      </c>
    </row>
    <row r="9" spans="1:3" ht="27" customHeight="1" x14ac:dyDescent="0.15">
      <c r="A9" s="273"/>
      <c r="B9" s="81" t="s">
        <v>24</v>
      </c>
      <c r="C9" s="82" t="s">
        <v>92</v>
      </c>
    </row>
    <row r="10" spans="1:3" ht="27" customHeight="1" x14ac:dyDescent="0.15">
      <c r="A10" s="273"/>
      <c r="B10" s="81" t="s">
        <v>25</v>
      </c>
      <c r="C10" s="82" t="s">
        <v>93</v>
      </c>
    </row>
    <row r="11" spans="1:3" ht="27" customHeight="1" x14ac:dyDescent="0.15">
      <c r="A11" s="273"/>
      <c r="B11" s="81" t="s">
        <v>26</v>
      </c>
      <c r="C11" s="82" t="s">
        <v>94</v>
      </c>
    </row>
    <row r="12" spans="1:3" ht="27" customHeight="1" x14ac:dyDescent="0.15">
      <c r="A12" s="273"/>
      <c r="B12" s="81" t="s">
        <v>68</v>
      </c>
      <c r="C12" s="82" t="s">
        <v>95</v>
      </c>
    </row>
    <row r="13" spans="1:3" ht="27" customHeight="1" x14ac:dyDescent="0.15">
      <c r="A13" s="273"/>
      <c r="B13" s="81" t="s">
        <v>69</v>
      </c>
      <c r="C13" s="82" t="s">
        <v>95</v>
      </c>
    </row>
    <row r="14" spans="1:3" ht="27" customHeight="1" x14ac:dyDescent="0.15">
      <c r="A14" s="273"/>
      <c r="B14" s="81" t="s">
        <v>70</v>
      </c>
      <c r="C14" s="82" t="s">
        <v>95</v>
      </c>
    </row>
    <row r="15" spans="1:3" ht="27" customHeight="1" x14ac:dyDescent="0.15">
      <c r="A15" s="273"/>
      <c r="B15" s="81" t="s">
        <v>71</v>
      </c>
      <c r="C15" s="82" t="s">
        <v>95</v>
      </c>
    </row>
    <row r="16" spans="1:3" ht="27" customHeight="1" x14ac:dyDescent="0.15">
      <c r="A16" s="273"/>
      <c r="B16" s="81" t="s">
        <v>72</v>
      </c>
      <c r="C16" s="82" t="s">
        <v>98</v>
      </c>
    </row>
    <row r="17" spans="1:3" ht="27" customHeight="1" thickBot="1" x14ac:dyDescent="0.2">
      <c r="A17" s="274"/>
      <c r="B17" s="83"/>
      <c r="C17" s="84"/>
    </row>
    <row r="18" spans="1:3" ht="27" customHeight="1" x14ac:dyDescent="0.15">
      <c r="A18" s="272" t="s">
        <v>85</v>
      </c>
      <c r="B18" s="79" t="s">
        <v>31</v>
      </c>
      <c r="C18" s="80" t="s">
        <v>96</v>
      </c>
    </row>
    <row r="19" spans="1:3" ht="27" customHeight="1" x14ac:dyDescent="0.15">
      <c r="A19" s="273"/>
      <c r="B19" s="81" t="s">
        <v>32</v>
      </c>
      <c r="C19" s="82" t="s">
        <v>97</v>
      </c>
    </row>
    <row r="20" spans="1:3" ht="27" customHeight="1" x14ac:dyDescent="0.15">
      <c r="A20" s="273"/>
      <c r="B20" s="81" t="s">
        <v>33</v>
      </c>
      <c r="C20" s="82" t="s">
        <v>97</v>
      </c>
    </row>
    <row r="21" spans="1:3" ht="27" customHeight="1" x14ac:dyDescent="0.15">
      <c r="A21" s="273"/>
      <c r="B21" s="81" t="s">
        <v>22</v>
      </c>
      <c r="C21" s="82" t="s">
        <v>91</v>
      </c>
    </row>
    <row r="22" spans="1:3" ht="27" customHeight="1" x14ac:dyDescent="0.15">
      <c r="A22" s="273"/>
      <c r="B22" s="81" t="s">
        <v>67</v>
      </c>
      <c r="C22" s="82" t="s">
        <v>91</v>
      </c>
    </row>
    <row r="23" spans="1:3" ht="27" customHeight="1" x14ac:dyDescent="0.15">
      <c r="A23" s="273"/>
      <c r="B23" s="81" t="s">
        <v>23</v>
      </c>
      <c r="C23" s="82" t="s">
        <v>91</v>
      </c>
    </row>
    <row r="24" spans="1:3" ht="27" customHeight="1" x14ac:dyDescent="0.15">
      <c r="A24" s="273"/>
      <c r="B24" s="81" t="s">
        <v>24</v>
      </c>
      <c r="C24" s="82" t="s">
        <v>92</v>
      </c>
    </row>
    <row r="25" spans="1:3" ht="27" customHeight="1" x14ac:dyDescent="0.15">
      <c r="A25" s="273"/>
      <c r="B25" s="81" t="s">
        <v>25</v>
      </c>
      <c r="C25" s="82" t="s">
        <v>93</v>
      </c>
    </row>
    <row r="26" spans="1:3" ht="27" customHeight="1" x14ac:dyDescent="0.15">
      <c r="A26" s="273"/>
      <c r="B26" s="81" t="s">
        <v>26</v>
      </c>
      <c r="C26" s="82" t="s">
        <v>94</v>
      </c>
    </row>
    <row r="27" spans="1:3" ht="27" customHeight="1" thickBot="1" x14ac:dyDescent="0.2">
      <c r="A27" s="274"/>
      <c r="B27" s="83"/>
      <c r="C27" s="84"/>
    </row>
    <row r="28" spans="1:3" ht="27" customHeight="1" x14ac:dyDescent="0.15">
      <c r="A28" s="272" t="s">
        <v>86</v>
      </c>
      <c r="B28" s="79" t="s">
        <v>35</v>
      </c>
      <c r="C28" s="80"/>
    </row>
    <row r="29" spans="1:3" ht="27" customHeight="1" x14ac:dyDescent="0.15">
      <c r="A29" s="273"/>
      <c r="B29" s="81" t="s">
        <v>36</v>
      </c>
      <c r="C29" s="82" t="s">
        <v>131</v>
      </c>
    </row>
    <row r="30" spans="1:3" ht="27" customHeight="1" x14ac:dyDescent="0.15">
      <c r="A30" s="273"/>
      <c r="B30" s="81" t="s">
        <v>37</v>
      </c>
      <c r="C30" s="82" t="s">
        <v>99</v>
      </c>
    </row>
    <row r="31" spans="1:3" ht="27" customHeight="1" x14ac:dyDescent="0.15">
      <c r="A31" s="273"/>
      <c r="B31" s="81" t="s">
        <v>38</v>
      </c>
      <c r="C31" s="82" t="s">
        <v>115</v>
      </c>
    </row>
    <row r="32" spans="1:3" ht="27" customHeight="1" x14ac:dyDescent="0.15">
      <c r="A32" s="273"/>
      <c r="B32" s="81" t="s">
        <v>39</v>
      </c>
      <c r="C32" s="82" t="s">
        <v>100</v>
      </c>
    </row>
    <row r="33" spans="1:3" ht="27" customHeight="1" x14ac:dyDescent="0.15">
      <c r="A33" s="273"/>
      <c r="B33" s="81" t="s">
        <v>40</v>
      </c>
      <c r="C33" s="82" t="s">
        <v>101</v>
      </c>
    </row>
    <row r="34" spans="1:3" ht="27" customHeight="1" x14ac:dyDescent="0.15">
      <c r="A34" s="273"/>
      <c r="B34" s="81" t="s">
        <v>41</v>
      </c>
      <c r="C34" s="82" t="s">
        <v>132</v>
      </c>
    </row>
    <row r="35" spans="1:3" ht="27" customHeight="1" x14ac:dyDescent="0.15">
      <c r="A35" s="273"/>
      <c r="B35" s="81" t="s">
        <v>42</v>
      </c>
      <c r="C35" s="82" t="s">
        <v>102</v>
      </c>
    </row>
    <row r="36" spans="1:3" ht="27" customHeight="1" x14ac:dyDescent="0.15">
      <c r="A36" s="273"/>
      <c r="B36" s="81" t="s">
        <v>43</v>
      </c>
      <c r="C36" s="82" t="s">
        <v>103</v>
      </c>
    </row>
    <row r="37" spans="1:3" ht="27" customHeight="1" x14ac:dyDescent="0.15">
      <c r="A37" s="273"/>
      <c r="B37" s="81" t="s">
        <v>44</v>
      </c>
      <c r="C37" s="82" t="s">
        <v>133</v>
      </c>
    </row>
    <row r="38" spans="1:3" ht="27" customHeight="1" x14ac:dyDescent="0.15">
      <c r="A38" s="273"/>
      <c r="B38" s="81" t="s">
        <v>45</v>
      </c>
      <c r="C38" s="82" t="s">
        <v>134</v>
      </c>
    </row>
    <row r="39" spans="1:3" ht="27" customHeight="1" x14ac:dyDescent="0.15">
      <c r="A39" s="273"/>
      <c r="B39" s="81" t="s">
        <v>46</v>
      </c>
      <c r="C39" s="82" t="s">
        <v>105</v>
      </c>
    </row>
    <row r="40" spans="1:3" ht="27" customHeight="1" x14ac:dyDescent="0.15">
      <c r="A40" s="273"/>
      <c r="B40" s="81" t="s">
        <v>47</v>
      </c>
      <c r="C40" s="82" t="s">
        <v>106</v>
      </c>
    </row>
    <row r="41" spans="1:3" ht="27" customHeight="1" x14ac:dyDescent="0.15">
      <c r="A41" s="273"/>
      <c r="B41" s="81" t="s">
        <v>48</v>
      </c>
      <c r="C41" s="82" t="s">
        <v>142</v>
      </c>
    </row>
    <row r="42" spans="1:3" ht="27" customHeight="1" x14ac:dyDescent="0.15">
      <c r="A42" s="273"/>
      <c r="B42" s="81" t="s">
        <v>49</v>
      </c>
      <c r="C42" s="82" t="s">
        <v>108</v>
      </c>
    </row>
    <row r="43" spans="1:3" ht="27" customHeight="1" x14ac:dyDescent="0.15">
      <c r="A43" s="273"/>
      <c r="B43" s="81" t="s">
        <v>50</v>
      </c>
      <c r="C43" s="82" t="s">
        <v>107</v>
      </c>
    </row>
    <row r="44" spans="1:3" ht="27" customHeight="1" x14ac:dyDescent="0.15">
      <c r="A44" s="273"/>
      <c r="B44" s="81" t="s">
        <v>51</v>
      </c>
      <c r="C44" s="82" t="s">
        <v>120</v>
      </c>
    </row>
    <row r="45" spans="1:3" ht="27" customHeight="1" x14ac:dyDescent="0.15">
      <c r="A45" s="273"/>
      <c r="B45" s="81" t="s">
        <v>52</v>
      </c>
      <c r="C45" s="82" t="s">
        <v>135</v>
      </c>
    </row>
    <row r="46" spans="1:3" ht="27" customHeight="1" x14ac:dyDescent="0.15">
      <c r="A46" s="273"/>
      <c r="B46" s="81" t="s">
        <v>53</v>
      </c>
      <c r="C46" s="82" t="s">
        <v>107</v>
      </c>
    </row>
    <row r="47" spans="1:3" ht="27" customHeight="1" x14ac:dyDescent="0.15">
      <c r="A47" s="273"/>
      <c r="B47" s="81" t="s">
        <v>54</v>
      </c>
      <c r="C47" s="82" t="s">
        <v>107</v>
      </c>
    </row>
    <row r="48" spans="1:3" ht="27" customHeight="1" x14ac:dyDescent="0.15">
      <c r="A48" s="273"/>
      <c r="B48" s="81" t="s">
        <v>56</v>
      </c>
      <c r="C48" s="82" t="s">
        <v>110</v>
      </c>
    </row>
    <row r="49" spans="1:3" ht="27" customHeight="1" x14ac:dyDescent="0.15">
      <c r="A49" s="273"/>
      <c r="B49" s="81" t="s">
        <v>55</v>
      </c>
      <c r="C49" s="82" t="s">
        <v>111</v>
      </c>
    </row>
    <row r="50" spans="1:3" ht="27" customHeight="1" thickBot="1" x14ac:dyDescent="0.2">
      <c r="A50" s="274"/>
      <c r="B50" s="83"/>
      <c r="C50" s="84"/>
    </row>
    <row r="51" spans="1:3" ht="27" customHeight="1" x14ac:dyDescent="0.15">
      <c r="A51" s="272" t="s">
        <v>87</v>
      </c>
      <c r="B51" s="79" t="s">
        <v>73</v>
      </c>
      <c r="C51" s="80" t="s">
        <v>107</v>
      </c>
    </row>
    <row r="52" spans="1:3" ht="27" customHeight="1" thickBot="1" x14ac:dyDescent="0.2">
      <c r="A52" s="274"/>
      <c r="B52" s="83" t="s">
        <v>74</v>
      </c>
      <c r="C52" s="84" t="s">
        <v>107</v>
      </c>
    </row>
  </sheetData>
  <mergeCells count="4">
    <mergeCell ref="A3:A17"/>
    <mergeCell ref="A18:A27"/>
    <mergeCell ref="A28:A50"/>
    <mergeCell ref="A51:A52"/>
  </mergeCells>
  <phoneticPr fontId="3"/>
  <pageMargins left="0.7" right="0.7" top="0.75" bottom="0.75" header="0.3" footer="0.3"/>
  <pageSetup paperSize="9" scale="5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27"/>
  <sheetViews>
    <sheetView workbookViewId="0">
      <pane ySplit="2" topLeftCell="A3" activePane="bottomLeft" state="frozen"/>
      <selection activeCell="K4" sqref="K4:K315"/>
      <selection pane="bottomLeft" activeCell="K4" sqref="K4:K315"/>
    </sheetView>
  </sheetViews>
  <sheetFormatPr defaultRowHeight="13.5" x14ac:dyDescent="0.15"/>
  <cols>
    <col min="1" max="1" width="15.875" customWidth="1"/>
    <col min="2" max="2" width="20.5" customWidth="1"/>
    <col min="3" max="3" width="63.125" customWidth="1"/>
  </cols>
  <sheetData>
    <row r="1" spans="1:3" ht="29.25" customHeight="1" thickBot="1" x14ac:dyDescent="0.2">
      <c r="A1" t="s">
        <v>125</v>
      </c>
      <c r="C1" s="88" t="s">
        <v>130</v>
      </c>
    </row>
    <row r="2" spans="1:3" ht="29.25" customHeight="1" thickBot="1" x14ac:dyDescent="0.2">
      <c r="A2" s="85" t="s">
        <v>127</v>
      </c>
      <c r="B2" s="86" t="s">
        <v>128</v>
      </c>
      <c r="C2" s="87" t="s">
        <v>129</v>
      </c>
    </row>
    <row r="3" spans="1:3" ht="27" customHeight="1" x14ac:dyDescent="0.15">
      <c r="A3" s="272" t="s">
        <v>86</v>
      </c>
      <c r="B3" s="79" t="s">
        <v>35</v>
      </c>
      <c r="C3" s="80" t="s">
        <v>112</v>
      </c>
    </row>
    <row r="4" spans="1:3" ht="27" customHeight="1" x14ac:dyDescent="0.15">
      <c r="A4" s="273"/>
      <c r="B4" s="81" t="s">
        <v>36</v>
      </c>
      <c r="C4" s="82" t="s">
        <v>113</v>
      </c>
    </row>
    <row r="5" spans="1:3" ht="27" customHeight="1" x14ac:dyDescent="0.15">
      <c r="A5" s="273"/>
      <c r="B5" s="81" t="s">
        <v>37</v>
      </c>
      <c r="C5" s="82" t="s">
        <v>114</v>
      </c>
    </row>
    <row r="6" spans="1:3" ht="27" customHeight="1" x14ac:dyDescent="0.15">
      <c r="A6" s="273"/>
      <c r="B6" s="81" t="s">
        <v>38</v>
      </c>
      <c r="C6" s="82" t="s">
        <v>136</v>
      </c>
    </row>
    <row r="7" spans="1:3" ht="27" customHeight="1" x14ac:dyDescent="0.15">
      <c r="A7" s="273"/>
      <c r="B7" s="81" t="s">
        <v>39</v>
      </c>
      <c r="C7" s="82" t="s">
        <v>116</v>
      </c>
    </row>
    <row r="8" spans="1:3" ht="27" customHeight="1" x14ac:dyDescent="0.15">
      <c r="A8" s="273"/>
      <c r="B8" s="81" t="s">
        <v>40</v>
      </c>
      <c r="C8" s="82" t="s">
        <v>101</v>
      </c>
    </row>
    <row r="9" spans="1:3" ht="27" customHeight="1" x14ac:dyDescent="0.15">
      <c r="A9" s="273"/>
      <c r="B9" s="81" t="s">
        <v>41</v>
      </c>
      <c r="C9" s="82" t="s">
        <v>132</v>
      </c>
    </row>
    <row r="10" spans="1:3" ht="27" customHeight="1" x14ac:dyDescent="0.15">
      <c r="A10" s="273"/>
      <c r="B10" s="81" t="s">
        <v>42</v>
      </c>
      <c r="C10" s="82" t="s">
        <v>102</v>
      </c>
    </row>
    <row r="11" spans="1:3" ht="27" customHeight="1" x14ac:dyDescent="0.15">
      <c r="A11" s="273"/>
      <c r="B11" s="81" t="s">
        <v>43</v>
      </c>
      <c r="C11" s="82" t="s">
        <v>103</v>
      </c>
    </row>
    <row r="12" spans="1:3" ht="27" customHeight="1" x14ac:dyDescent="0.15">
      <c r="A12" s="273"/>
      <c r="B12" s="81" t="s">
        <v>44</v>
      </c>
      <c r="C12" s="82" t="s">
        <v>137</v>
      </c>
    </row>
    <row r="13" spans="1:3" ht="27" customHeight="1" x14ac:dyDescent="0.15">
      <c r="A13" s="273"/>
      <c r="B13" s="81" t="s">
        <v>45</v>
      </c>
      <c r="C13" s="82" t="s">
        <v>104</v>
      </c>
    </row>
    <row r="14" spans="1:3" ht="27" customHeight="1" x14ac:dyDescent="0.15">
      <c r="A14" s="273"/>
      <c r="B14" s="81" t="s">
        <v>46</v>
      </c>
      <c r="C14" s="82" t="s">
        <v>117</v>
      </c>
    </row>
    <row r="15" spans="1:3" ht="27" customHeight="1" x14ac:dyDescent="0.15">
      <c r="A15" s="273"/>
      <c r="B15" s="81" t="s">
        <v>47</v>
      </c>
      <c r="C15" s="82" t="s">
        <v>118</v>
      </c>
    </row>
    <row r="16" spans="1:3" ht="27" customHeight="1" x14ac:dyDescent="0.15">
      <c r="A16" s="273"/>
      <c r="B16" s="81" t="s">
        <v>48</v>
      </c>
      <c r="C16" s="91" t="s">
        <v>141</v>
      </c>
    </row>
    <row r="17" spans="1:3" ht="27" customHeight="1" x14ac:dyDescent="0.15">
      <c r="A17" s="273"/>
      <c r="B17" s="81" t="s">
        <v>49</v>
      </c>
      <c r="C17" s="82" t="s">
        <v>108</v>
      </c>
    </row>
    <row r="18" spans="1:3" ht="27" customHeight="1" x14ac:dyDescent="0.15">
      <c r="A18" s="273"/>
      <c r="B18" s="81" t="s">
        <v>50</v>
      </c>
      <c r="C18" s="82" t="s">
        <v>119</v>
      </c>
    </row>
    <row r="19" spans="1:3" ht="27" customHeight="1" x14ac:dyDescent="0.15">
      <c r="A19" s="273"/>
      <c r="B19" s="81" t="s">
        <v>51</v>
      </c>
      <c r="C19" s="82" t="s">
        <v>121</v>
      </c>
    </row>
    <row r="20" spans="1:3" ht="27" customHeight="1" x14ac:dyDescent="0.15">
      <c r="A20" s="273"/>
      <c r="B20" s="81" t="s">
        <v>52</v>
      </c>
      <c r="C20" s="82" t="s">
        <v>109</v>
      </c>
    </row>
    <row r="21" spans="1:3" ht="27" customHeight="1" x14ac:dyDescent="0.15">
      <c r="A21" s="273"/>
      <c r="B21" s="81" t="s">
        <v>53</v>
      </c>
      <c r="C21" s="82" t="s">
        <v>122</v>
      </c>
    </row>
    <row r="22" spans="1:3" ht="27" customHeight="1" x14ac:dyDescent="0.15">
      <c r="A22" s="273"/>
      <c r="B22" s="81" t="s">
        <v>54</v>
      </c>
      <c r="C22" s="82" t="s">
        <v>123</v>
      </c>
    </row>
    <row r="23" spans="1:3" ht="27" customHeight="1" x14ac:dyDescent="0.15">
      <c r="A23" s="273"/>
      <c r="B23" s="81" t="s">
        <v>56</v>
      </c>
      <c r="C23" s="82" t="s">
        <v>138</v>
      </c>
    </row>
    <row r="24" spans="1:3" ht="27" customHeight="1" x14ac:dyDescent="0.15">
      <c r="A24" s="273"/>
      <c r="B24" s="81" t="s">
        <v>55</v>
      </c>
      <c r="C24" s="91" t="s">
        <v>139</v>
      </c>
    </row>
    <row r="25" spans="1:3" ht="27" customHeight="1" thickBot="1" x14ac:dyDescent="0.2">
      <c r="A25" s="274"/>
      <c r="B25" s="83"/>
      <c r="C25" s="84"/>
    </row>
    <row r="26" spans="1:3" ht="27" customHeight="1" x14ac:dyDescent="0.15">
      <c r="A26" s="272" t="s">
        <v>87</v>
      </c>
      <c r="B26" s="79" t="s">
        <v>73</v>
      </c>
      <c r="C26" s="80" t="s">
        <v>124</v>
      </c>
    </row>
    <row r="27" spans="1:3" ht="27" customHeight="1" thickBot="1" x14ac:dyDescent="0.2">
      <c r="A27" s="274"/>
      <c r="B27" s="83" t="s">
        <v>74</v>
      </c>
      <c r="C27" s="84" t="s">
        <v>140</v>
      </c>
    </row>
  </sheetData>
  <mergeCells count="2">
    <mergeCell ref="A3:A25"/>
    <mergeCell ref="A26:A27"/>
  </mergeCells>
  <phoneticPr fontId="3"/>
  <pageMargins left="0.7" right="0.7" top="0.75" bottom="0.75" header="0.3" footer="0.3"/>
  <pageSetup paperSize="9" scale="82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>
      <selection activeCell="F287" sqref="F287"/>
    </sheetView>
  </sheetViews>
  <sheetFormatPr defaultRowHeight="13.5" x14ac:dyDescent="0.15"/>
  <sheetData/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>
      <selection activeCell="M270" sqref="M270:M283"/>
    </sheetView>
  </sheetViews>
  <sheetFormatPr defaultRowHeight="13.5" x14ac:dyDescent="0.15"/>
  <sheetData/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N66"/>
  <sheetViews>
    <sheetView view="pageBreakPreview" zoomScale="70" zoomScaleNormal="40" zoomScaleSheetLayoutView="70" workbookViewId="0">
      <pane xSplit="2" topLeftCell="Y1" activePane="topRight" state="frozen"/>
      <selection activeCell="X29" sqref="X29"/>
      <selection pane="topRight" sqref="A1:XFD1048576"/>
    </sheetView>
  </sheetViews>
  <sheetFormatPr defaultRowHeight="14.25" outlineLevelCol="2" x14ac:dyDescent="0.15"/>
  <cols>
    <col min="1" max="1" width="9" style="2" customWidth="1"/>
    <col min="2" max="2" width="18.625" style="2" customWidth="1"/>
    <col min="3" max="3" width="13.25" style="2" customWidth="1" outlineLevel="2"/>
    <col min="4" max="4" width="13.25" style="2" customWidth="1" outlineLevel="1"/>
    <col min="5" max="5" width="13.25" style="2" customWidth="1" outlineLevel="2"/>
    <col min="6" max="6" width="13.25" style="2" customWidth="1" outlineLevel="1"/>
    <col min="7" max="7" width="13.25" style="2" customWidth="1" outlineLevel="2"/>
    <col min="8" max="8" width="13.25" style="2" customWidth="1" outlineLevel="1"/>
    <col min="9" max="10" width="13.25" style="2" hidden="1" customWidth="1"/>
    <col min="11" max="11" width="13.25" style="2" customWidth="1" outlineLevel="2"/>
    <col min="12" max="12" width="13.25" style="2" customWidth="1" outlineLevel="1"/>
    <col min="13" max="13" width="13.25" style="2" customWidth="1" outlineLevel="2"/>
    <col min="14" max="14" width="13.25" style="2" customWidth="1" outlineLevel="1"/>
    <col min="15" max="15" width="13.25" style="2" customWidth="1" outlineLevel="2"/>
    <col min="16" max="16" width="13.25" style="2" customWidth="1" outlineLevel="1"/>
    <col min="17" max="20" width="13.25" style="2" hidden="1" customWidth="1"/>
    <col min="21" max="21" width="13.25" style="2" customWidth="1" outlineLevel="2"/>
    <col min="22" max="22" width="13.25" style="2" customWidth="1" outlineLevel="1"/>
    <col min="23" max="23" width="13.25" style="2" customWidth="1" outlineLevel="2"/>
    <col min="24" max="24" width="13.25" style="2" customWidth="1" outlineLevel="1"/>
    <col min="25" max="25" width="13.25" style="2" customWidth="1" outlineLevel="2"/>
    <col min="26" max="26" width="13.25" style="2" customWidth="1" outlineLevel="1"/>
    <col min="27" max="28" width="13.25" style="2" hidden="1" customWidth="1"/>
    <col min="29" max="29" width="13.25" style="2" customWidth="1" outlineLevel="2"/>
    <col min="30" max="30" width="13.25" style="2" customWidth="1" outlineLevel="1"/>
    <col min="31" max="31" width="13.25" style="2" customWidth="1" outlineLevel="2"/>
    <col min="32" max="32" width="13.25" style="2" customWidth="1" outlineLevel="1"/>
    <col min="33" max="33" width="13.25" style="2" customWidth="1" outlineLevel="2"/>
    <col min="34" max="34" width="13.25" style="2" customWidth="1" outlineLevel="1"/>
    <col min="35" max="38" width="13.25" style="2" hidden="1" customWidth="1"/>
    <col min="39" max="40" width="13.25" style="2" customWidth="1"/>
    <col min="41" max="274" width="9" style="2"/>
    <col min="275" max="275" width="9" style="2" customWidth="1"/>
    <col min="276" max="276" width="18.625" style="2" customWidth="1"/>
    <col min="277" max="277" width="0" style="2" hidden="1" customWidth="1"/>
    <col min="278" max="296" width="13.25" style="2" customWidth="1"/>
    <col min="297" max="530" width="9" style="2"/>
    <col min="531" max="531" width="9" style="2" customWidth="1"/>
    <col min="532" max="532" width="18.625" style="2" customWidth="1"/>
    <col min="533" max="533" width="0" style="2" hidden="1" customWidth="1"/>
    <col min="534" max="552" width="13.25" style="2" customWidth="1"/>
    <col min="553" max="786" width="9" style="2"/>
    <col min="787" max="787" width="9" style="2" customWidth="1"/>
    <col min="788" max="788" width="18.625" style="2" customWidth="1"/>
    <col min="789" max="789" width="0" style="2" hidden="1" customWidth="1"/>
    <col min="790" max="808" width="13.25" style="2" customWidth="1"/>
    <col min="809" max="1042" width="9" style="2"/>
    <col min="1043" max="1043" width="9" style="2" customWidth="1"/>
    <col min="1044" max="1044" width="18.625" style="2" customWidth="1"/>
    <col min="1045" max="1045" width="0" style="2" hidden="1" customWidth="1"/>
    <col min="1046" max="1064" width="13.25" style="2" customWidth="1"/>
    <col min="1065" max="1298" width="9" style="2"/>
    <col min="1299" max="1299" width="9" style="2" customWidth="1"/>
    <col min="1300" max="1300" width="18.625" style="2" customWidth="1"/>
    <col min="1301" max="1301" width="0" style="2" hidden="1" customWidth="1"/>
    <col min="1302" max="1320" width="13.25" style="2" customWidth="1"/>
    <col min="1321" max="1554" width="9" style="2"/>
    <col min="1555" max="1555" width="9" style="2" customWidth="1"/>
    <col min="1556" max="1556" width="18.625" style="2" customWidth="1"/>
    <col min="1557" max="1557" width="0" style="2" hidden="1" customWidth="1"/>
    <col min="1558" max="1576" width="13.25" style="2" customWidth="1"/>
    <col min="1577" max="1810" width="9" style="2"/>
    <col min="1811" max="1811" width="9" style="2" customWidth="1"/>
    <col min="1812" max="1812" width="18.625" style="2" customWidth="1"/>
    <col min="1813" max="1813" width="0" style="2" hidden="1" customWidth="1"/>
    <col min="1814" max="1832" width="13.25" style="2" customWidth="1"/>
    <col min="1833" max="2066" width="9" style="2"/>
    <col min="2067" max="2067" width="9" style="2" customWidth="1"/>
    <col min="2068" max="2068" width="18.625" style="2" customWidth="1"/>
    <col min="2069" max="2069" width="0" style="2" hidden="1" customWidth="1"/>
    <col min="2070" max="2088" width="13.25" style="2" customWidth="1"/>
    <col min="2089" max="2322" width="9" style="2"/>
    <col min="2323" max="2323" width="9" style="2" customWidth="1"/>
    <col min="2324" max="2324" width="18.625" style="2" customWidth="1"/>
    <col min="2325" max="2325" width="0" style="2" hidden="1" customWidth="1"/>
    <col min="2326" max="2344" width="13.25" style="2" customWidth="1"/>
    <col min="2345" max="2578" width="9" style="2"/>
    <col min="2579" max="2579" width="9" style="2" customWidth="1"/>
    <col min="2580" max="2580" width="18.625" style="2" customWidth="1"/>
    <col min="2581" max="2581" width="0" style="2" hidden="1" customWidth="1"/>
    <col min="2582" max="2600" width="13.25" style="2" customWidth="1"/>
    <col min="2601" max="2834" width="9" style="2"/>
    <col min="2835" max="2835" width="9" style="2" customWidth="1"/>
    <col min="2836" max="2836" width="18.625" style="2" customWidth="1"/>
    <col min="2837" max="2837" width="0" style="2" hidden="1" customWidth="1"/>
    <col min="2838" max="2856" width="13.25" style="2" customWidth="1"/>
    <col min="2857" max="3090" width="9" style="2"/>
    <col min="3091" max="3091" width="9" style="2" customWidth="1"/>
    <col min="3092" max="3092" width="18.625" style="2" customWidth="1"/>
    <col min="3093" max="3093" width="0" style="2" hidden="1" customWidth="1"/>
    <col min="3094" max="3112" width="13.25" style="2" customWidth="1"/>
    <col min="3113" max="3346" width="9" style="2"/>
    <col min="3347" max="3347" width="9" style="2" customWidth="1"/>
    <col min="3348" max="3348" width="18.625" style="2" customWidth="1"/>
    <col min="3349" max="3349" width="0" style="2" hidden="1" customWidth="1"/>
    <col min="3350" max="3368" width="13.25" style="2" customWidth="1"/>
    <col min="3369" max="3602" width="9" style="2"/>
    <col min="3603" max="3603" width="9" style="2" customWidth="1"/>
    <col min="3604" max="3604" width="18.625" style="2" customWidth="1"/>
    <col min="3605" max="3605" width="0" style="2" hidden="1" customWidth="1"/>
    <col min="3606" max="3624" width="13.25" style="2" customWidth="1"/>
    <col min="3625" max="3858" width="9" style="2"/>
    <col min="3859" max="3859" width="9" style="2" customWidth="1"/>
    <col min="3860" max="3860" width="18.625" style="2" customWidth="1"/>
    <col min="3861" max="3861" width="0" style="2" hidden="1" customWidth="1"/>
    <col min="3862" max="3880" width="13.25" style="2" customWidth="1"/>
    <col min="3881" max="4114" width="9" style="2"/>
    <col min="4115" max="4115" width="9" style="2" customWidth="1"/>
    <col min="4116" max="4116" width="18.625" style="2" customWidth="1"/>
    <col min="4117" max="4117" width="0" style="2" hidden="1" customWidth="1"/>
    <col min="4118" max="4136" width="13.25" style="2" customWidth="1"/>
    <col min="4137" max="4370" width="9" style="2"/>
    <col min="4371" max="4371" width="9" style="2" customWidth="1"/>
    <col min="4372" max="4372" width="18.625" style="2" customWidth="1"/>
    <col min="4373" max="4373" width="0" style="2" hidden="1" customWidth="1"/>
    <col min="4374" max="4392" width="13.25" style="2" customWidth="1"/>
    <col min="4393" max="4626" width="9" style="2"/>
    <col min="4627" max="4627" width="9" style="2" customWidth="1"/>
    <col min="4628" max="4628" width="18.625" style="2" customWidth="1"/>
    <col min="4629" max="4629" width="0" style="2" hidden="1" customWidth="1"/>
    <col min="4630" max="4648" width="13.25" style="2" customWidth="1"/>
    <col min="4649" max="4882" width="9" style="2"/>
    <col min="4883" max="4883" width="9" style="2" customWidth="1"/>
    <col min="4884" max="4884" width="18.625" style="2" customWidth="1"/>
    <col min="4885" max="4885" width="0" style="2" hidden="1" customWidth="1"/>
    <col min="4886" max="4904" width="13.25" style="2" customWidth="1"/>
    <col min="4905" max="5138" width="9" style="2"/>
    <col min="5139" max="5139" width="9" style="2" customWidth="1"/>
    <col min="5140" max="5140" width="18.625" style="2" customWidth="1"/>
    <col min="5141" max="5141" width="0" style="2" hidden="1" customWidth="1"/>
    <col min="5142" max="5160" width="13.25" style="2" customWidth="1"/>
    <col min="5161" max="5394" width="9" style="2"/>
    <col min="5395" max="5395" width="9" style="2" customWidth="1"/>
    <col min="5396" max="5396" width="18.625" style="2" customWidth="1"/>
    <col min="5397" max="5397" width="0" style="2" hidden="1" customWidth="1"/>
    <col min="5398" max="5416" width="13.25" style="2" customWidth="1"/>
    <col min="5417" max="5650" width="9" style="2"/>
    <col min="5651" max="5651" width="9" style="2" customWidth="1"/>
    <col min="5652" max="5652" width="18.625" style="2" customWidth="1"/>
    <col min="5653" max="5653" width="0" style="2" hidden="1" customWidth="1"/>
    <col min="5654" max="5672" width="13.25" style="2" customWidth="1"/>
    <col min="5673" max="5906" width="9" style="2"/>
    <col min="5907" max="5907" width="9" style="2" customWidth="1"/>
    <col min="5908" max="5908" width="18.625" style="2" customWidth="1"/>
    <col min="5909" max="5909" width="0" style="2" hidden="1" customWidth="1"/>
    <col min="5910" max="5928" width="13.25" style="2" customWidth="1"/>
    <col min="5929" max="6162" width="9" style="2"/>
    <col min="6163" max="6163" width="9" style="2" customWidth="1"/>
    <col min="6164" max="6164" width="18.625" style="2" customWidth="1"/>
    <col min="6165" max="6165" width="0" style="2" hidden="1" customWidth="1"/>
    <col min="6166" max="6184" width="13.25" style="2" customWidth="1"/>
    <col min="6185" max="6418" width="9" style="2"/>
    <col min="6419" max="6419" width="9" style="2" customWidth="1"/>
    <col min="6420" max="6420" width="18.625" style="2" customWidth="1"/>
    <col min="6421" max="6421" width="0" style="2" hidden="1" customWidth="1"/>
    <col min="6422" max="6440" width="13.25" style="2" customWidth="1"/>
    <col min="6441" max="6674" width="9" style="2"/>
    <col min="6675" max="6675" width="9" style="2" customWidth="1"/>
    <col min="6676" max="6676" width="18.625" style="2" customWidth="1"/>
    <col min="6677" max="6677" width="0" style="2" hidden="1" customWidth="1"/>
    <col min="6678" max="6696" width="13.25" style="2" customWidth="1"/>
    <col min="6697" max="6930" width="9" style="2"/>
    <col min="6931" max="6931" width="9" style="2" customWidth="1"/>
    <col min="6932" max="6932" width="18.625" style="2" customWidth="1"/>
    <col min="6933" max="6933" width="0" style="2" hidden="1" customWidth="1"/>
    <col min="6934" max="6952" width="13.25" style="2" customWidth="1"/>
    <col min="6953" max="7186" width="9" style="2"/>
    <col min="7187" max="7187" width="9" style="2" customWidth="1"/>
    <col min="7188" max="7188" width="18.625" style="2" customWidth="1"/>
    <col min="7189" max="7189" width="0" style="2" hidden="1" customWidth="1"/>
    <col min="7190" max="7208" width="13.25" style="2" customWidth="1"/>
    <col min="7209" max="7442" width="9" style="2"/>
    <col min="7443" max="7443" width="9" style="2" customWidth="1"/>
    <col min="7444" max="7444" width="18.625" style="2" customWidth="1"/>
    <col min="7445" max="7445" width="0" style="2" hidden="1" customWidth="1"/>
    <col min="7446" max="7464" width="13.25" style="2" customWidth="1"/>
    <col min="7465" max="7698" width="9" style="2"/>
    <col min="7699" max="7699" width="9" style="2" customWidth="1"/>
    <col min="7700" max="7700" width="18.625" style="2" customWidth="1"/>
    <col min="7701" max="7701" width="0" style="2" hidden="1" customWidth="1"/>
    <col min="7702" max="7720" width="13.25" style="2" customWidth="1"/>
    <col min="7721" max="7954" width="9" style="2"/>
    <col min="7955" max="7955" width="9" style="2" customWidth="1"/>
    <col min="7956" max="7956" width="18.625" style="2" customWidth="1"/>
    <col min="7957" max="7957" width="0" style="2" hidden="1" customWidth="1"/>
    <col min="7958" max="7976" width="13.25" style="2" customWidth="1"/>
    <col min="7977" max="8210" width="9" style="2"/>
    <col min="8211" max="8211" width="9" style="2" customWidth="1"/>
    <col min="8212" max="8212" width="18.625" style="2" customWidth="1"/>
    <col min="8213" max="8213" width="0" style="2" hidden="1" customWidth="1"/>
    <col min="8214" max="8232" width="13.25" style="2" customWidth="1"/>
    <col min="8233" max="8466" width="9" style="2"/>
    <col min="8467" max="8467" width="9" style="2" customWidth="1"/>
    <col min="8468" max="8468" width="18.625" style="2" customWidth="1"/>
    <col min="8469" max="8469" width="0" style="2" hidden="1" customWidth="1"/>
    <col min="8470" max="8488" width="13.25" style="2" customWidth="1"/>
    <col min="8489" max="8722" width="9" style="2"/>
    <col min="8723" max="8723" width="9" style="2" customWidth="1"/>
    <col min="8724" max="8724" width="18.625" style="2" customWidth="1"/>
    <col min="8725" max="8725" width="0" style="2" hidden="1" customWidth="1"/>
    <col min="8726" max="8744" width="13.25" style="2" customWidth="1"/>
    <col min="8745" max="8978" width="9" style="2"/>
    <col min="8979" max="8979" width="9" style="2" customWidth="1"/>
    <col min="8980" max="8980" width="18.625" style="2" customWidth="1"/>
    <col min="8981" max="8981" width="0" style="2" hidden="1" customWidth="1"/>
    <col min="8982" max="9000" width="13.25" style="2" customWidth="1"/>
    <col min="9001" max="9234" width="9" style="2"/>
    <col min="9235" max="9235" width="9" style="2" customWidth="1"/>
    <col min="9236" max="9236" width="18.625" style="2" customWidth="1"/>
    <col min="9237" max="9237" width="0" style="2" hidden="1" customWidth="1"/>
    <col min="9238" max="9256" width="13.25" style="2" customWidth="1"/>
    <col min="9257" max="9490" width="9" style="2"/>
    <col min="9491" max="9491" width="9" style="2" customWidth="1"/>
    <col min="9492" max="9492" width="18.625" style="2" customWidth="1"/>
    <col min="9493" max="9493" width="0" style="2" hidden="1" customWidth="1"/>
    <col min="9494" max="9512" width="13.25" style="2" customWidth="1"/>
    <col min="9513" max="9746" width="9" style="2"/>
    <col min="9747" max="9747" width="9" style="2" customWidth="1"/>
    <col min="9748" max="9748" width="18.625" style="2" customWidth="1"/>
    <col min="9749" max="9749" width="0" style="2" hidden="1" customWidth="1"/>
    <col min="9750" max="9768" width="13.25" style="2" customWidth="1"/>
    <col min="9769" max="10002" width="9" style="2"/>
    <col min="10003" max="10003" width="9" style="2" customWidth="1"/>
    <col min="10004" max="10004" width="18.625" style="2" customWidth="1"/>
    <col min="10005" max="10005" width="0" style="2" hidden="1" customWidth="1"/>
    <col min="10006" max="10024" width="13.25" style="2" customWidth="1"/>
    <col min="10025" max="10258" width="9" style="2"/>
    <col min="10259" max="10259" width="9" style="2" customWidth="1"/>
    <col min="10260" max="10260" width="18.625" style="2" customWidth="1"/>
    <col min="10261" max="10261" width="0" style="2" hidden="1" customWidth="1"/>
    <col min="10262" max="10280" width="13.25" style="2" customWidth="1"/>
    <col min="10281" max="10514" width="9" style="2"/>
    <col min="10515" max="10515" width="9" style="2" customWidth="1"/>
    <col min="10516" max="10516" width="18.625" style="2" customWidth="1"/>
    <col min="10517" max="10517" width="0" style="2" hidden="1" customWidth="1"/>
    <col min="10518" max="10536" width="13.25" style="2" customWidth="1"/>
    <col min="10537" max="10770" width="9" style="2"/>
    <col min="10771" max="10771" width="9" style="2" customWidth="1"/>
    <col min="10772" max="10772" width="18.625" style="2" customWidth="1"/>
    <col min="10773" max="10773" width="0" style="2" hidden="1" customWidth="1"/>
    <col min="10774" max="10792" width="13.25" style="2" customWidth="1"/>
    <col min="10793" max="11026" width="9" style="2"/>
    <col min="11027" max="11027" width="9" style="2" customWidth="1"/>
    <col min="11028" max="11028" width="18.625" style="2" customWidth="1"/>
    <col min="11029" max="11029" width="0" style="2" hidden="1" customWidth="1"/>
    <col min="11030" max="11048" width="13.25" style="2" customWidth="1"/>
    <col min="11049" max="11282" width="9" style="2"/>
    <col min="11283" max="11283" width="9" style="2" customWidth="1"/>
    <col min="11284" max="11284" width="18.625" style="2" customWidth="1"/>
    <col min="11285" max="11285" width="0" style="2" hidden="1" customWidth="1"/>
    <col min="11286" max="11304" width="13.25" style="2" customWidth="1"/>
    <col min="11305" max="11538" width="9" style="2"/>
    <col min="11539" max="11539" width="9" style="2" customWidth="1"/>
    <col min="11540" max="11540" width="18.625" style="2" customWidth="1"/>
    <col min="11541" max="11541" width="0" style="2" hidden="1" customWidth="1"/>
    <col min="11542" max="11560" width="13.25" style="2" customWidth="1"/>
    <col min="11561" max="11794" width="9" style="2"/>
    <col min="11795" max="11795" width="9" style="2" customWidth="1"/>
    <col min="11796" max="11796" width="18.625" style="2" customWidth="1"/>
    <col min="11797" max="11797" width="0" style="2" hidden="1" customWidth="1"/>
    <col min="11798" max="11816" width="13.25" style="2" customWidth="1"/>
    <col min="11817" max="12050" width="9" style="2"/>
    <col min="12051" max="12051" width="9" style="2" customWidth="1"/>
    <col min="12052" max="12052" width="18.625" style="2" customWidth="1"/>
    <col min="12053" max="12053" width="0" style="2" hidden="1" customWidth="1"/>
    <col min="12054" max="12072" width="13.25" style="2" customWidth="1"/>
    <col min="12073" max="12306" width="9" style="2"/>
    <col min="12307" max="12307" width="9" style="2" customWidth="1"/>
    <col min="12308" max="12308" width="18.625" style="2" customWidth="1"/>
    <col min="12309" max="12309" width="0" style="2" hidden="1" customWidth="1"/>
    <col min="12310" max="12328" width="13.25" style="2" customWidth="1"/>
    <col min="12329" max="12562" width="9" style="2"/>
    <col min="12563" max="12563" width="9" style="2" customWidth="1"/>
    <col min="12564" max="12564" width="18.625" style="2" customWidth="1"/>
    <col min="12565" max="12565" width="0" style="2" hidden="1" customWidth="1"/>
    <col min="12566" max="12584" width="13.25" style="2" customWidth="1"/>
    <col min="12585" max="12818" width="9" style="2"/>
    <col min="12819" max="12819" width="9" style="2" customWidth="1"/>
    <col min="12820" max="12820" width="18.625" style="2" customWidth="1"/>
    <col min="12821" max="12821" width="0" style="2" hidden="1" customWidth="1"/>
    <col min="12822" max="12840" width="13.25" style="2" customWidth="1"/>
    <col min="12841" max="13074" width="9" style="2"/>
    <col min="13075" max="13075" width="9" style="2" customWidth="1"/>
    <col min="13076" max="13076" width="18.625" style="2" customWidth="1"/>
    <col min="13077" max="13077" width="0" style="2" hidden="1" customWidth="1"/>
    <col min="13078" max="13096" width="13.25" style="2" customWidth="1"/>
    <col min="13097" max="13330" width="9" style="2"/>
    <col min="13331" max="13331" width="9" style="2" customWidth="1"/>
    <col min="13332" max="13332" width="18.625" style="2" customWidth="1"/>
    <col min="13333" max="13333" width="0" style="2" hidden="1" customWidth="1"/>
    <col min="13334" max="13352" width="13.25" style="2" customWidth="1"/>
    <col min="13353" max="13586" width="9" style="2"/>
    <col min="13587" max="13587" width="9" style="2" customWidth="1"/>
    <col min="13588" max="13588" width="18.625" style="2" customWidth="1"/>
    <col min="13589" max="13589" width="0" style="2" hidden="1" customWidth="1"/>
    <col min="13590" max="13608" width="13.25" style="2" customWidth="1"/>
    <col min="13609" max="13842" width="9" style="2"/>
    <col min="13843" max="13843" width="9" style="2" customWidth="1"/>
    <col min="13844" max="13844" width="18.625" style="2" customWidth="1"/>
    <col min="13845" max="13845" width="0" style="2" hidden="1" customWidth="1"/>
    <col min="13846" max="13864" width="13.25" style="2" customWidth="1"/>
    <col min="13865" max="14098" width="9" style="2"/>
    <col min="14099" max="14099" width="9" style="2" customWidth="1"/>
    <col min="14100" max="14100" width="18.625" style="2" customWidth="1"/>
    <col min="14101" max="14101" width="0" style="2" hidden="1" customWidth="1"/>
    <col min="14102" max="14120" width="13.25" style="2" customWidth="1"/>
    <col min="14121" max="14354" width="9" style="2"/>
    <col min="14355" max="14355" width="9" style="2" customWidth="1"/>
    <col min="14356" max="14356" width="18.625" style="2" customWidth="1"/>
    <col min="14357" max="14357" width="0" style="2" hidden="1" customWidth="1"/>
    <col min="14358" max="14376" width="13.25" style="2" customWidth="1"/>
    <col min="14377" max="14610" width="9" style="2"/>
    <col min="14611" max="14611" width="9" style="2" customWidth="1"/>
    <col min="14612" max="14612" width="18.625" style="2" customWidth="1"/>
    <col min="14613" max="14613" width="0" style="2" hidden="1" customWidth="1"/>
    <col min="14614" max="14632" width="13.25" style="2" customWidth="1"/>
    <col min="14633" max="14866" width="9" style="2"/>
    <col min="14867" max="14867" width="9" style="2" customWidth="1"/>
    <col min="14868" max="14868" width="18.625" style="2" customWidth="1"/>
    <col min="14869" max="14869" width="0" style="2" hidden="1" customWidth="1"/>
    <col min="14870" max="14888" width="13.25" style="2" customWidth="1"/>
    <col min="14889" max="15122" width="9" style="2"/>
    <col min="15123" max="15123" width="9" style="2" customWidth="1"/>
    <col min="15124" max="15124" width="18.625" style="2" customWidth="1"/>
    <col min="15125" max="15125" width="0" style="2" hidden="1" customWidth="1"/>
    <col min="15126" max="15144" width="13.25" style="2" customWidth="1"/>
    <col min="15145" max="15378" width="9" style="2"/>
    <col min="15379" max="15379" width="9" style="2" customWidth="1"/>
    <col min="15380" max="15380" width="18.625" style="2" customWidth="1"/>
    <col min="15381" max="15381" width="0" style="2" hidden="1" customWidth="1"/>
    <col min="15382" max="15400" width="13.25" style="2" customWidth="1"/>
    <col min="15401" max="15634" width="9" style="2"/>
    <col min="15635" max="15635" width="9" style="2" customWidth="1"/>
    <col min="15636" max="15636" width="18.625" style="2" customWidth="1"/>
    <col min="15637" max="15637" width="0" style="2" hidden="1" customWidth="1"/>
    <col min="15638" max="15656" width="13.25" style="2" customWidth="1"/>
    <col min="15657" max="15890" width="9" style="2"/>
    <col min="15891" max="15891" width="9" style="2" customWidth="1"/>
    <col min="15892" max="15892" width="18.625" style="2" customWidth="1"/>
    <col min="15893" max="15893" width="0" style="2" hidden="1" customWidth="1"/>
    <col min="15894" max="15912" width="13.25" style="2" customWidth="1"/>
    <col min="15913" max="16146" width="9" style="2"/>
    <col min="16147" max="16147" width="9" style="2" customWidth="1"/>
    <col min="16148" max="16148" width="18.625" style="2" customWidth="1"/>
    <col min="16149" max="16149" width="0" style="2" hidden="1" customWidth="1"/>
    <col min="16150" max="16168" width="13.25" style="2" customWidth="1"/>
    <col min="16169" max="16384" width="9" style="2"/>
  </cols>
  <sheetData>
    <row r="1" spans="1:40" ht="21" x14ac:dyDescent="0.2">
      <c r="A1" s="1"/>
      <c r="B1" s="1"/>
      <c r="C1" s="235"/>
      <c r="D1" s="235"/>
      <c r="E1" s="235"/>
      <c r="F1" s="235"/>
      <c r="G1" s="235"/>
      <c r="H1" s="235"/>
      <c r="I1" s="235"/>
      <c r="J1" s="95"/>
      <c r="K1" s="235"/>
      <c r="L1" s="235"/>
      <c r="M1" s="235"/>
      <c r="N1" s="235"/>
      <c r="O1" s="235"/>
      <c r="P1" s="235"/>
      <c r="Q1" s="235"/>
      <c r="R1" s="235"/>
      <c r="S1" s="235"/>
      <c r="T1" s="95"/>
      <c r="U1" s="235"/>
      <c r="V1" s="235"/>
      <c r="W1" s="235"/>
      <c r="X1" s="235"/>
      <c r="Y1" s="235"/>
      <c r="Z1" s="235"/>
      <c r="AA1" s="235"/>
      <c r="AB1" s="9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</row>
    <row r="2" spans="1:40" ht="19.5" thickBot="1" x14ac:dyDescent="0.2">
      <c r="A2" s="236" t="s">
        <v>208</v>
      </c>
      <c r="B2" s="236"/>
    </row>
    <row r="3" spans="1:40" ht="21" customHeight="1" thickTop="1" thickBot="1" x14ac:dyDescent="0.2">
      <c r="A3" s="220" t="s">
        <v>0</v>
      </c>
      <c r="B3" s="221"/>
      <c r="C3" s="222" t="s">
        <v>1</v>
      </c>
      <c r="D3" s="223"/>
      <c r="E3" s="222" t="s">
        <v>2</v>
      </c>
      <c r="F3" s="223"/>
      <c r="G3" s="222" t="s">
        <v>3</v>
      </c>
      <c r="H3" s="223"/>
      <c r="I3" s="224" t="s">
        <v>4</v>
      </c>
      <c r="J3" s="225"/>
      <c r="K3" s="234" t="s">
        <v>5</v>
      </c>
      <c r="L3" s="223"/>
      <c r="M3" s="222" t="s">
        <v>6</v>
      </c>
      <c r="N3" s="223"/>
      <c r="O3" s="222" t="s">
        <v>7</v>
      </c>
      <c r="P3" s="223"/>
      <c r="Q3" s="216" t="s">
        <v>8</v>
      </c>
      <c r="R3" s="217"/>
      <c r="S3" s="226" t="s">
        <v>9</v>
      </c>
      <c r="T3" s="227"/>
      <c r="U3" s="234" t="s">
        <v>10</v>
      </c>
      <c r="V3" s="223"/>
      <c r="W3" s="222" t="s">
        <v>11</v>
      </c>
      <c r="X3" s="223"/>
      <c r="Y3" s="222" t="s">
        <v>12</v>
      </c>
      <c r="Z3" s="223"/>
      <c r="AA3" s="216" t="s">
        <v>13</v>
      </c>
      <c r="AB3" s="217"/>
      <c r="AC3" s="234" t="s">
        <v>14</v>
      </c>
      <c r="AD3" s="223"/>
      <c r="AE3" s="222" t="s">
        <v>15</v>
      </c>
      <c r="AF3" s="223"/>
      <c r="AG3" s="222" t="s">
        <v>16</v>
      </c>
      <c r="AH3" s="223"/>
      <c r="AI3" s="216" t="s">
        <v>17</v>
      </c>
      <c r="AJ3" s="217"/>
      <c r="AK3" s="226" t="s">
        <v>18</v>
      </c>
      <c r="AL3" s="227"/>
      <c r="AM3" s="228" t="s">
        <v>19</v>
      </c>
      <c r="AN3" s="229"/>
    </row>
    <row r="4" spans="1:40" ht="21" customHeight="1" thickTop="1" thickBot="1" x14ac:dyDescent="0.2">
      <c r="A4" s="230" t="s">
        <v>0</v>
      </c>
      <c r="B4" s="231"/>
      <c r="C4" s="30" t="s">
        <v>20</v>
      </c>
      <c r="D4" s="94" t="s">
        <v>83</v>
      </c>
      <c r="E4" s="30" t="s">
        <v>20</v>
      </c>
      <c r="F4" s="94" t="s">
        <v>83</v>
      </c>
      <c r="G4" s="30" t="s">
        <v>20</v>
      </c>
      <c r="H4" s="183" t="s">
        <v>83</v>
      </c>
      <c r="I4" s="30" t="s">
        <v>20</v>
      </c>
      <c r="J4" s="94" t="s">
        <v>83</v>
      </c>
      <c r="K4" s="56" t="s">
        <v>20</v>
      </c>
      <c r="L4" s="94" t="s">
        <v>83</v>
      </c>
      <c r="M4" s="30" t="s">
        <v>20</v>
      </c>
      <c r="N4" s="94" t="s">
        <v>83</v>
      </c>
      <c r="O4" s="30" t="s">
        <v>20</v>
      </c>
      <c r="P4" s="94" t="s">
        <v>83</v>
      </c>
      <c r="Q4" s="30" t="s">
        <v>20</v>
      </c>
      <c r="R4" s="94" t="s">
        <v>83</v>
      </c>
      <c r="S4" s="30" t="s">
        <v>20</v>
      </c>
      <c r="T4" s="94" t="s">
        <v>83</v>
      </c>
      <c r="U4" s="56" t="s">
        <v>20</v>
      </c>
      <c r="V4" s="94" t="s">
        <v>83</v>
      </c>
      <c r="W4" s="30" t="s">
        <v>20</v>
      </c>
      <c r="X4" s="94" t="s">
        <v>83</v>
      </c>
      <c r="Y4" s="30" t="s">
        <v>20</v>
      </c>
      <c r="Z4" s="94" t="s">
        <v>83</v>
      </c>
      <c r="AA4" s="30" t="s">
        <v>20</v>
      </c>
      <c r="AB4" s="94" t="s">
        <v>83</v>
      </c>
      <c r="AC4" s="56" t="s">
        <v>20</v>
      </c>
      <c r="AD4" s="94" t="s">
        <v>83</v>
      </c>
      <c r="AE4" s="30" t="s">
        <v>20</v>
      </c>
      <c r="AF4" s="94" t="s">
        <v>83</v>
      </c>
      <c r="AG4" s="30" t="s">
        <v>20</v>
      </c>
      <c r="AH4" s="94" t="s">
        <v>83</v>
      </c>
      <c r="AI4" s="30" t="s">
        <v>20</v>
      </c>
      <c r="AJ4" s="94" t="s">
        <v>83</v>
      </c>
      <c r="AK4" s="30" t="s">
        <v>20</v>
      </c>
      <c r="AL4" s="94" t="s">
        <v>83</v>
      </c>
      <c r="AM4" s="56" t="s">
        <v>20</v>
      </c>
      <c r="AN4" s="94" t="s">
        <v>83</v>
      </c>
    </row>
    <row r="5" spans="1:40" ht="20.25" customHeight="1" thickBot="1" x14ac:dyDescent="0.2">
      <c r="A5" s="232" t="s">
        <v>21</v>
      </c>
      <c r="B5" s="233"/>
      <c r="C5" s="31">
        <v>9840000</v>
      </c>
      <c r="D5" s="115">
        <f>大1!C270</f>
        <v>9891377</v>
      </c>
      <c r="E5" s="31">
        <v>11240000</v>
      </c>
      <c r="F5" s="115">
        <f>大1!D270</f>
        <v>12518259</v>
      </c>
      <c r="G5" s="31">
        <v>13200000</v>
      </c>
      <c r="H5" s="15">
        <f>大1!E270</f>
        <v>13454397</v>
      </c>
      <c r="I5" s="41">
        <f>C5+E5+G5</f>
        <v>34280000</v>
      </c>
      <c r="J5" s="115">
        <f>D5+F5+H5</f>
        <v>35864033</v>
      </c>
      <c r="K5" s="57">
        <v>15160000</v>
      </c>
      <c r="L5" s="115">
        <f>大1!F270</f>
        <v>13055230</v>
      </c>
      <c r="M5" s="31">
        <v>16840000</v>
      </c>
      <c r="N5" s="115">
        <f>大1!G270</f>
        <v>15919422</v>
      </c>
      <c r="O5" s="31">
        <v>18520000</v>
      </c>
      <c r="P5" s="15">
        <f>大1!H270</f>
        <v>13914333</v>
      </c>
      <c r="Q5" s="41">
        <f>K5+M5+O5</f>
        <v>50520000</v>
      </c>
      <c r="R5" s="115">
        <f>L5+N5+P5</f>
        <v>42888985</v>
      </c>
      <c r="S5" s="149">
        <f>I5+Q5</f>
        <v>84800000</v>
      </c>
      <c r="T5" s="115">
        <f>J5+R5</f>
        <v>78753018</v>
      </c>
      <c r="U5" s="57">
        <v>19920000</v>
      </c>
      <c r="V5" s="115">
        <f>大1!I270</f>
        <v>15235326</v>
      </c>
      <c r="W5" s="31">
        <v>21880000</v>
      </c>
      <c r="X5" s="115">
        <f>大1!J270</f>
        <v>15147205</v>
      </c>
      <c r="Y5" s="31">
        <v>23000000</v>
      </c>
      <c r="Z5" s="15">
        <f>大1!K270</f>
        <v>14852514</v>
      </c>
      <c r="AA5" s="41">
        <f>U5+W5+Y5</f>
        <v>64800000</v>
      </c>
      <c r="AB5" s="115">
        <f>V5+X5+Z5</f>
        <v>45235045</v>
      </c>
      <c r="AC5" s="57">
        <v>24120000</v>
      </c>
      <c r="AD5" s="115">
        <f>大1!L270</f>
        <v>15458118</v>
      </c>
      <c r="AE5" s="31">
        <v>24960000</v>
      </c>
      <c r="AF5" s="115">
        <f>大1!M270</f>
        <v>14966131</v>
      </c>
      <c r="AG5" s="31">
        <v>25800000</v>
      </c>
      <c r="AH5" s="15">
        <f>大1!N270</f>
        <v>13288113</v>
      </c>
      <c r="AI5" s="41">
        <f>AC5+AE5+AG5</f>
        <v>74880000</v>
      </c>
      <c r="AJ5" s="115">
        <f>AD5+AF5+AH5</f>
        <v>43712362</v>
      </c>
      <c r="AK5" s="149">
        <f>AA5+AI5</f>
        <v>139680000</v>
      </c>
      <c r="AL5" s="115">
        <f>AB5+AJ5</f>
        <v>88947407</v>
      </c>
      <c r="AM5" s="127">
        <f>SUM(C5,E5,G5,K5,M5,O5,U5,W5,Y5,AC5,AE5,AG5)</f>
        <v>224480000</v>
      </c>
      <c r="AN5" s="115">
        <f t="shared" ref="AN5:AN21" si="0">SUM(D5,F5,H5,L5,N5,P5,V5,X5,Z5,AD5,AF5,AH5)</f>
        <v>167700425</v>
      </c>
    </row>
    <row r="6" spans="1:40" ht="20.25" customHeight="1" x14ac:dyDescent="0.15">
      <c r="A6" s="25" t="s">
        <v>76</v>
      </c>
      <c r="B6" s="29" t="s">
        <v>64</v>
      </c>
      <c r="C6" s="32">
        <v>5500000</v>
      </c>
      <c r="D6" s="9">
        <f>大1!C271</f>
        <v>5569562</v>
      </c>
      <c r="E6" s="32">
        <v>6400000</v>
      </c>
      <c r="F6" s="9">
        <f>大1!D271</f>
        <v>7313392</v>
      </c>
      <c r="G6" s="32">
        <v>7900000</v>
      </c>
      <c r="H6" s="9">
        <f>大1!E271</f>
        <v>7625128</v>
      </c>
      <c r="I6" s="37">
        <f t="shared" ref="I6:J19" si="1">C6+E6+G6</f>
        <v>19800000</v>
      </c>
      <c r="J6" s="9">
        <f t="shared" si="1"/>
        <v>20508082</v>
      </c>
      <c r="K6" s="58">
        <v>8900000</v>
      </c>
      <c r="L6" s="9">
        <f>大1!F271</f>
        <v>7346862</v>
      </c>
      <c r="M6" s="32">
        <v>9900000</v>
      </c>
      <c r="N6" s="9">
        <f>大1!G271</f>
        <v>9160324</v>
      </c>
      <c r="O6" s="32">
        <v>10800000</v>
      </c>
      <c r="P6" s="9">
        <f>大1!H271</f>
        <v>7849565</v>
      </c>
      <c r="Q6" s="37">
        <f t="shared" ref="Q6:Q19" si="2">K6+M6+O6</f>
        <v>29600000</v>
      </c>
      <c r="R6" s="9">
        <f t="shared" ref="R6:R19" si="3">L6+N6+P6</f>
        <v>24356751</v>
      </c>
      <c r="S6" s="37">
        <f t="shared" ref="S6:T19" si="4">I6+Q6</f>
        <v>49400000</v>
      </c>
      <c r="T6" s="9">
        <f t="shared" si="4"/>
        <v>44864833</v>
      </c>
      <c r="U6" s="58">
        <v>11900000</v>
      </c>
      <c r="V6" s="9">
        <f>大1!I271</f>
        <v>8958281</v>
      </c>
      <c r="W6" s="32">
        <v>12800000</v>
      </c>
      <c r="X6" s="9">
        <f>大1!J271</f>
        <v>8250593</v>
      </c>
      <c r="Y6" s="32">
        <v>13500000</v>
      </c>
      <c r="Z6" s="9">
        <f>大1!K271</f>
        <v>8411384</v>
      </c>
      <c r="AA6" s="37">
        <f t="shared" ref="AA6:AA19" si="5">U6+W6+Y6</f>
        <v>38200000</v>
      </c>
      <c r="AB6" s="9">
        <f t="shared" ref="AB6:AB19" si="6">V6+X6+Z6</f>
        <v>25620258</v>
      </c>
      <c r="AC6" s="58">
        <v>13900000</v>
      </c>
      <c r="AD6" s="9">
        <f>大1!L271</f>
        <v>8640558</v>
      </c>
      <c r="AE6" s="32">
        <v>14500000</v>
      </c>
      <c r="AF6" s="9">
        <f>大1!M271</f>
        <v>8662949</v>
      </c>
      <c r="AG6" s="32">
        <v>16000000</v>
      </c>
      <c r="AH6" s="9">
        <f>大1!N271</f>
        <v>7607104</v>
      </c>
      <c r="AI6" s="37">
        <f t="shared" ref="AI6:AI19" si="7">AC6+AE6+AG6</f>
        <v>44400000</v>
      </c>
      <c r="AJ6" s="9">
        <f t="shared" ref="AJ6:AJ19" si="8">AD6+AF6+AH6</f>
        <v>24910611</v>
      </c>
      <c r="AK6" s="37">
        <f t="shared" ref="AK6:AK19" si="9">AA6+AI6</f>
        <v>82600000</v>
      </c>
      <c r="AL6" s="9">
        <f t="shared" ref="AL6:AL19" si="10">AB6+AJ6</f>
        <v>50530869</v>
      </c>
      <c r="AM6" s="63">
        <f t="shared" ref="AM6:AM19" si="11">SUM(C6,E6,G6,K6,M6,O6,U6,W6,Y6,AC6,AE6,AG6)</f>
        <v>132000000</v>
      </c>
      <c r="AN6" s="9">
        <f t="shared" si="0"/>
        <v>95395702</v>
      </c>
    </row>
    <row r="7" spans="1:40" ht="20.25" customHeight="1" x14ac:dyDescent="0.15">
      <c r="A7" s="21" t="s">
        <v>77</v>
      </c>
      <c r="B7" s="5" t="s">
        <v>65</v>
      </c>
      <c r="C7" s="33">
        <v>50000</v>
      </c>
      <c r="D7" s="116">
        <f>大1!C272</f>
        <v>55000</v>
      </c>
      <c r="E7" s="33">
        <v>50000</v>
      </c>
      <c r="F7" s="116">
        <f>大1!D272</f>
        <v>54500</v>
      </c>
      <c r="G7" s="33">
        <v>100000</v>
      </c>
      <c r="H7" s="116">
        <f>大1!E272</f>
        <v>77800</v>
      </c>
      <c r="I7" s="150">
        <f t="shared" si="1"/>
        <v>200000</v>
      </c>
      <c r="J7" s="116">
        <f t="shared" si="1"/>
        <v>187300</v>
      </c>
      <c r="K7" s="59">
        <v>150000</v>
      </c>
      <c r="L7" s="116">
        <f>大1!F272</f>
        <v>84100</v>
      </c>
      <c r="M7" s="33">
        <v>150000</v>
      </c>
      <c r="N7" s="116">
        <f>大1!G272</f>
        <v>99600</v>
      </c>
      <c r="O7" s="33">
        <v>150000</v>
      </c>
      <c r="P7" s="116">
        <f>大1!H272</f>
        <v>116400</v>
      </c>
      <c r="Q7" s="150">
        <f t="shared" si="2"/>
        <v>450000</v>
      </c>
      <c r="R7" s="116">
        <f t="shared" si="3"/>
        <v>300100</v>
      </c>
      <c r="S7" s="150">
        <f t="shared" si="4"/>
        <v>650000</v>
      </c>
      <c r="T7" s="116">
        <f t="shared" si="4"/>
        <v>487400</v>
      </c>
      <c r="U7" s="59">
        <v>150000</v>
      </c>
      <c r="V7" s="116">
        <f>大1!I272</f>
        <v>152550</v>
      </c>
      <c r="W7" s="33">
        <v>180000</v>
      </c>
      <c r="X7" s="116">
        <f>大1!J272</f>
        <v>145000</v>
      </c>
      <c r="Y7" s="33">
        <v>180000</v>
      </c>
      <c r="Z7" s="116">
        <f>大1!K272</f>
        <v>200110</v>
      </c>
      <c r="AA7" s="150">
        <f t="shared" si="5"/>
        <v>510000</v>
      </c>
      <c r="AB7" s="116">
        <f t="shared" si="6"/>
        <v>497660</v>
      </c>
      <c r="AC7" s="59">
        <v>180000</v>
      </c>
      <c r="AD7" s="116">
        <f>大1!L272</f>
        <v>173300</v>
      </c>
      <c r="AE7" s="33">
        <v>180000</v>
      </c>
      <c r="AF7" s="116">
        <f>大1!M272</f>
        <v>206750</v>
      </c>
      <c r="AG7" s="33">
        <v>180000</v>
      </c>
      <c r="AH7" s="116">
        <f>大1!N272</f>
        <v>227900</v>
      </c>
      <c r="AI7" s="150">
        <f t="shared" si="7"/>
        <v>540000</v>
      </c>
      <c r="AJ7" s="116">
        <f t="shared" si="8"/>
        <v>607950</v>
      </c>
      <c r="AK7" s="150">
        <f t="shared" si="9"/>
        <v>1050000</v>
      </c>
      <c r="AL7" s="116">
        <f t="shared" si="10"/>
        <v>1105610</v>
      </c>
      <c r="AM7" s="128">
        <f t="shared" si="11"/>
        <v>1700000</v>
      </c>
      <c r="AN7" s="116">
        <f t="shared" si="0"/>
        <v>1593010</v>
      </c>
    </row>
    <row r="8" spans="1:40" ht="20.25" customHeight="1" x14ac:dyDescent="0.15">
      <c r="A8" s="23"/>
      <c r="B8" s="5" t="s">
        <v>66</v>
      </c>
      <c r="C8" s="33">
        <v>55000</v>
      </c>
      <c r="D8" s="116">
        <f>大1!C274</f>
        <v>19085</v>
      </c>
      <c r="E8" s="33">
        <v>60000</v>
      </c>
      <c r="F8" s="116">
        <f>大1!D274</f>
        <v>59765</v>
      </c>
      <c r="G8" s="33">
        <v>110000</v>
      </c>
      <c r="H8" s="116">
        <f>大1!E274</f>
        <v>321646</v>
      </c>
      <c r="I8" s="150">
        <f t="shared" si="1"/>
        <v>225000</v>
      </c>
      <c r="J8" s="116">
        <f t="shared" si="1"/>
        <v>400496</v>
      </c>
      <c r="K8" s="59">
        <v>110000</v>
      </c>
      <c r="L8" s="116">
        <f>大1!F274</f>
        <v>360562</v>
      </c>
      <c r="M8" s="33">
        <v>110000</v>
      </c>
      <c r="N8" s="116">
        <f>大1!G274</f>
        <v>221836</v>
      </c>
      <c r="O8" s="33">
        <v>110000</v>
      </c>
      <c r="P8" s="116">
        <f>大1!H274</f>
        <v>278729</v>
      </c>
      <c r="Q8" s="150">
        <f t="shared" si="2"/>
        <v>330000</v>
      </c>
      <c r="R8" s="116">
        <f t="shared" si="3"/>
        <v>861127</v>
      </c>
      <c r="S8" s="150">
        <f t="shared" si="4"/>
        <v>555000</v>
      </c>
      <c r="T8" s="116">
        <f t="shared" si="4"/>
        <v>1261623</v>
      </c>
      <c r="U8" s="59">
        <v>110000</v>
      </c>
      <c r="V8" s="116">
        <f>大1!I274</f>
        <v>249806</v>
      </c>
      <c r="W8" s="33">
        <v>150000</v>
      </c>
      <c r="X8" s="116">
        <f>大1!J274</f>
        <v>251578</v>
      </c>
      <c r="Y8" s="33">
        <v>150000</v>
      </c>
      <c r="Z8" s="116">
        <f>大1!K274</f>
        <v>304968</v>
      </c>
      <c r="AA8" s="150">
        <f t="shared" si="5"/>
        <v>410000</v>
      </c>
      <c r="AB8" s="116">
        <f t="shared" si="6"/>
        <v>806352</v>
      </c>
      <c r="AC8" s="59">
        <v>150000</v>
      </c>
      <c r="AD8" s="116">
        <f>大1!L274</f>
        <v>247309</v>
      </c>
      <c r="AE8" s="33">
        <v>150000</v>
      </c>
      <c r="AF8" s="116">
        <f>大1!M274</f>
        <v>326676</v>
      </c>
      <c r="AG8" s="33">
        <v>150000</v>
      </c>
      <c r="AH8" s="116">
        <f>大1!N274</f>
        <v>314166</v>
      </c>
      <c r="AI8" s="150">
        <f t="shared" si="7"/>
        <v>450000</v>
      </c>
      <c r="AJ8" s="116">
        <f t="shared" si="8"/>
        <v>888151</v>
      </c>
      <c r="AK8" s="150">
        <f t="shared" si="9"/>
        <v>860000</v>
      </c>
      <c r="AL8" s="116">
        <f t="shared" si="10"/>
        <v>1694503</v>
      </c>
      <c r="AM8" s="128">
        <f t="shared" si="11"/>
        <v>1415000</v>
      </c>
      <c r="AN8" s="116">
        <f t="shared" si="0"/>
        <v>2956126</v>
      </c>
    </row>
    <row r="9" spans="1:40" ht="20.25" customHeight="1" x14ac:dyDescent="0.15">
      <c r="A9" s="23"/>
      <c r="B9" s="5" t="s">
        <v>22</v>
      </c>
      <c r="C9" s="34">
        <v>250464.55881373124</v>
      </c>
      <c r="D9" s="116">
        <f>大1!C275</f>
        <v>281630</v>
      </c>
      <c r="E9" s="34">
        <v>336750</v>
      </c>
      <c r="F9" s="116">
        <f>大1!D275</f>
        <v>308338</v>
      </c>
      <c r="G9" s="34">
        <v>418500</v>
      </c>
      <c r="H9" s="116">
        <f>大1!E275</f>
        <v>320091</v>
      </c>
      <c r="I9" s="151">
        <f t="shared" si="1"/>
        <v>1005714.5588137312</v>
      </c>
      <c r="J9" s="117">
        <f t="shared" si="1"/>
        <v>910059</v>
      </c>
      <c r="K9" s="60">
        <v>472750</v>
      </c>
      <c r="L9" s="116">
        <f>大1!F275</f>
        <v>323157</v>
      </c>
      <c r="M9" s="34">
        <v>524250</v>
      </c>
      <c r="N9" s="116">
        <f>大1!G275</f>
        <v>379878</v>
      </c>
      <c r="O9" s="34">
        <v>570750</v>
      </c>
      <c r="P9" s="116">
        <f>大1!H275</f>
        <v>387032</v>
      </c>
      <c r="Q9" s="151">
        <f t="shared" si="2"/>
        <v>1567750</v>
      </c>
      <c r="R9" s="117">
        <f t="shared" si="3"/>
        <v>1090067</v>
      </c>
      <c r="S9" s="151">
        <f t="shared" si="4"/>
        <v>2573464.5588137312</v>
      </c>
      <c r="T9" s="117">
        <f t="shared" si="4"/>
        <v>2000126</v>
      </c>
      <c r="U9" s="60">
        <v>627000</v>
      </c>
      <c r="V9" s="116">
        <f>大1!I275</f>
        <v>426890</v>
      </c>
      <c r="W9" s="34">
        <v>677250</v>
      </c>
      <c r="X9" s="116">
        <f>大1!J275</f>
        <v>432306</v>
      </c>
      <c r="Y9" s="34">
        <v>713500</v>
      </c>
      <c r="Z9" s="116">
        <f>大1!K275</f>
        <v>440993</v>
      </c>
      <c r="AA9" s="151">
        <f t="shared" si="5"/>
        <v>2017750</v>
      </c>
      <c r="AB9" s="117">
        <f t="shared" si="6"/>
        <v>1300189</v>
      </c>
      <c r="AC9" s="60">
        <v>734500</v>
      </c>
      <c r="AD9" s="116">
        <f>大1!L275</f>
        <v>448147</v>
      </c>
      <c r="AE9" s="34">
        <v>765250</v>
      </c>
      <c r="AF9" s="116">
        <f>大1!M275</f>
        <v>435168</v>
      </c>
      <c r="AG9" s="34">
        <v>841000</v>
      </c>
      <c r="AH9" s="116">
        <f>大1!N275</f>
        <v>403486</v>
      </c>
      <c r="AI9" s="151">
        <f t="shared" si="7"/>
        <v>2340750</v>
      </c>
      <c r="AJ9" s="117">
        <f t="shared" si="8"/>
        <v>1286801</v>
      </c>
      <c r="AK9" s="151">
        <f t="shared" si="9"/>
        <v>4358500</v>
      </c>
      <c r="AL9" s="117">
        <f t="shared" si="10"/>
        <v>2586990</v>
      </c>
      <c r="AM9" s="129">
        <f t="shared" si="11"/>
        <v>6931964.5588137312</v>
      </c>
      <c r="AN9" s="117">
        <f t="shared" si="0"/>
        <v>4587116</v>
      </c>
    </row>
    <row r="10" spans="1:40" ht="20.25" customHeight="1" x14ac:dyDescent="0.15">
      <c r="A10" s="23"/>
      <c r="B10" s="5" t="s">
        <v>67</v>
      </c>
      <c r="C10" s="34">
        <v>39787.805784100441</v>
      </c>
      <c r="D10" s="116">
        <f>大1!C276</f>
        <v>46206</v>
      </c>
      <c r="E10" s="34">
        <v>67350</v>
      </c>
      <c r="F10" s="116">
        <f>大1!D276</f>
        <v>45133</v>
      </c>
      <c r="G10" s="34">
        <v>83700</v>
      </c>
      <c r="H10" s="116">
        <f>大1!E276</f>
        <v>43657</v>
      </c>
      <c r="I10" s="151">
        <f t="shared" si="1"/>
        <v>190837.80578410043</v>
      </c>
      <c r="J10" s="117">
        <f t="shared" si="1"/>
        <v>134996</v>
      </c>
      <c r="K10" s="60">
        <v>94550</v>
      </c>
      <c r="L10" s="116">
        <f>大1!F276</f>
        <v>42181</v>
      </c>
      <c r="M10" s="34">
        <v>104850</v>
      </c>
      <c r="N10" s="116">
        <f>大1!G276</f>
        <v>48003</v>
      </c>
      <c r="O10" s="34">
        <v>114150</v>
      </c>
      <c r="P10" s="116">
        <f>大1!H276</f>
        <v>47675</v>
      </c>
      <c r="Q10" s="151">
        <f t="shared" si="2"/>
        <v>313550</v>
      </c>
      <c r="R10" s="117">
        <f t="shared" si="3"/>
        <v>137859</v>
      </c>
      <c r="S10" s="151">
        <f t="shared" si="4"/>
        <v>504387.80578410043</v>
      </c>
      <c r="T10" s="117">
        <f t="shared" si="4"/>
        <v>272855</v>
      </c>
      <c r="U10" s="60">
        <v>125400</v>
      </c>
      <c r="V10" s="116">
        <f>大1!I276</f>
        <v>50381</v>
      </c>
      <c r="W10" s="34">
        <v>135450</v>
      </c>
      <c r="X10" s="116">
        <f>大1!J276</f>
        <v>51086</v>
      </c>
      <c r="Y10" s="186">
        <v>142700</v>
      </c>
      <c r="Z10" s="116">
        <f>大1!K276</f>
        <v>49610</v>
      </c>
      <c r="AA10" s="151">
        <f t="shared" si="5"/>
        <v>403550</v>
      </c>
      <c r="AB10" s="117">
        <f t="shared" si="6"/>
        <v>151077</v>
      </c>
      <c r="AC10" s="60">
        <v>146900</v>
      </c>
      <c r="AD10" s="116">
        <f>大1!L276</f>
        <v>51004</v>
      </c>
      <c r="AE10" s="34">
        <v>153050</v>
      </c>
      <c r="AF10" s="116">
        <f>大1!M276</f>
        <v>48921</v>
      </c>
      <c r="AG10" s="34">
        <v>168200</v>
      </c>
      <c r="AH10" s="116">
        <f>大1!N276</f>
        <v>45395</v>
      </c>
      <c r="AI10" s="151">
        <f t="shared" si="7"/>
        <v>468150</v>
      </c>
      <c r="AJ10" s="117">
        <f t="shared" si="8"/>
        <v>145320</v>
      </c>
      <c r="AK10" s="151">
        <f t="shared" si="9"/>
        <v>871700</v>
      </c>
      <c r="AL10" s="117">
        <f t="shared" si="10"/>
        <v>296397</v>
      </c>
      <c r="AM10" s="129">
        <f t="shared" si="11"/>
        <v>1376087.8057841004</v>
      </c>
      <c r="AN10" s="117">
        <f t="shared" si="0"/>
        <v>569252</v>
      </c>
    </row>
    <row r="11" spans="1:40" ht="20.25" customHeight="1" x14ac:dyDescent="0.15">
      <c r="A11" s="23"/>
      <c r="B11" s="5" t="s">
        <v>23</v>
      </c>
      <c r="C11" s="34">
        <v>445813.65798666188</v>
      </c>
      <c r="D11" s="116">
        <f>大1!C277</f>
        <v>500871</v>
      </c>
      <c r="E11" s="34">
        <v>572475</v>
      </c>
      <c r="F11" s="116">
        <f>大1!D277</f>
        <v>552111</v>
      </c>
      <c r="G11" s="34">
        <v>711450</v>
      </c>
      <c r="H11" s="116">
        <f>大1!E277</f>
        <v>573156</v>
      </c>
      <c r="I11" s="151">
        <f t="shared" si="1"/>
        <v>1729738.6579866619</v>
      </c>
      <c r="J11" s="117">
        <f t="shared" si="1"/>
        <v>1626138</v>
      </c>
      <c r="K11" s="60">
        <v>803675</v>
      </c>
      <c r="L11" s="116">
        <f>大1!F277</f>
        <v>578646</v>
      </c>
      <c r="M11" s="34">
        <v>891225.00000000012</v>
      </c>
      <c r="N11" s="116">
        <f>大1!G277</f>
        <v>680211</v>
      </c>
      <c r="O11" s="34">
        <v>970275.00000000012</v>
      </c>
      <c r="P11" s="116">
        <f>大1!H277</f>
        <v>693021</v>
      </c>
      <c r="Q11" s="151">
        <f t="shared" si="2"/>
        <v>2665175</v>
      </c>
      <c r="R11" s="117">
        <f t="shared" si="3"/>
        <v>1951878</v>
      </c>
      <c r="S11" s="151">
        <f t="shared" si="4"/>
        <v>4394913.6579866614</v>
      </c>
      <c r="T11" s="117">
        <f t="shared" si="4"/>
        <v>3578016</v>
      </c>
      <c r="U11" s="60">
        <v>1065900</v>
      </c>
      <c r="V11" s="116">
        <f>大1!I277</f>
        <v>764391</v>
      </c>
      <c r="W11" s="34">
        <v>1151325</v>
      </c>
      <c r="X11" s="116">
        <f>大1!J277</f>
        <v>774090</v>
      </c>
      <c r="Y11" s="186">
        <v>1212950</v>
      </c>
      <c r="Z11" s="116">
        <f>大1!K277</f>
        <v>789645</v>
      </c>
      <c r="AA11" s="151">
        <f t="shared" si="5"/>
        <v>3430175</v>
      </c>
      <c r="AB11" s="117">
        <f t="shared" si="6"/>
        <v>2328126</v>
      </c>
      <c r="AC11" s="60">
        <v>1248650</v>
      </c>
      <c r="AD11" s="116">
        <f>大1!L277</f>
        <v>802455</v>
      </c>
      <c r="AE11" s="34">
        <v>1300925</v>
      </c>
      <c r="AF11" s="116">
        <f>大1!M277</f>
        <v>779214</v>
      </c>
      <c r="AG11" s="34">
        <v>1429700</v>
      </c>
      <c r="AH11" s="116">
        <f>大1!N277</f>
        <v>722484</v>
      </c>
      <c r="AI11" s="151">
        <f t="shared" si="7"/>
        <v>3979275</v>
      </c>
      <c r="AJ11" s="117">
        <f t="shared" si="8"/>
        <v>2304153</v>
      </c>
      <c r="AK11" s="151">
        <f t="shared" si="9"/>
        <v>7409450</v>
      </c>
      <c r="AL11" s="117">
        <f t="shared" si="10"/>
        <v>4632279</v>
      </c>
      <c r="AM11" s="129">
        <f t="shared" si="11"/>
        <v>11804363.657986663</v>
      </c>
      <c r="AN11" s="117">
        <f t="shared" si="0"/>
        <v>8210295</v>
      </c>
    </row>
    <row r="12" spans="1:40" ht="20.25" customHeight="1" x14ac:dyDescent="0.15">
      <c r="A12" s="23"/>
      <c r="B12" s="5" t="s">
        <v>24</v>
      </c>
      <c r="C12" s="34">
        <v>31200.993803873796</v>
      </c>
      <c r="D12" s="116">
        <f>大1!C278</f>
        <v>31660</v>
      </c>
      <c r="E12" s="34">
        <v>33675</v>
      </c>
      <c r="F12" s="116">
        <f>大1!D278</f>
        <v>40712</v>
      </c>
      <c r="G12" s="34">
        <v>41850</v>
      </c>
      <c r="H12" s="116">
        <f>大1!E278</f>
        <v>45412</v>
      </c>
      <c r="I12" s="151">
        <f t="shared" si="1"/>
        <v>106725.9938038738</v>
      </c>
      <c r="J12" s="117">
        <f t="shared" si="1"/>
        <v>117784</v>
      </c>
      <c r="K12" s="60">
        <v>47275</v>
      </c>
      <c r="L12" s="116">
        <f>大1!F278</f>
        <v>44588</v>
      </c>
      <c r="M12" s="34">
        <v>52425</v>
      </c>
      <c r="N12" s="116">
        <f>大1!G278</f>
        <v>54286</v>
      </c>
      <c r="O12" s="34">
        <v>57075</v>
      </c>
      <c r="P12" s="116">
        <f>大1!H278</f>
        <v>47394</v>
      </c>
      <c r="Q12" s="151">
        <f t="shared" si="2"/>
        <v>156775</v>
      </c>
      <c r="R12" s="117">
        <f t="shared" si="3"/>
        <v>146268</v>
      </c>
      <c r="S12" s="151">
        <f t="shared" si="4"/>
        <v>263500.99380387377</v>
      </c>
      <c r="T12" s="117">
        <f t="shared" si="4"/>
        <v>264052</v>
      </c>
      <c r="U12" s="60">
        <v>62700</v>
      </c>
      <c r="V12" s="116">
        <f>大1!I278</f>
        <v>53930</v>
      </c>
      <c r="W12" s="34">
        <v>67725</v>
      </c>
      <c r="X12" s="116">
        <f>大1!J278</f>
        <v>70024</v>
      </c>
      <c r="Y12" s="186">
        <v>71350</v>
      </c>
      <c r="Z12" s="116">
        <f>大1!K278</f>
        <v>72491</v>
      </c>
      <c r="AA12" s="151">
        <f t="shared" si="5"/>
        <v>201775</v>
      </c>
      <c r="AB12" s="117">
        <f t="shared" si="6"/>
        <v>196445</v>
      </c>
      <c r="AC12" s="60">
        <v>73450</v>
      </c>
      <c r="AD12" s="116">
        <f>大1!L278</f>
        <v>73126</v>
      </c>
      <c r="AE12" s="34">
        <v>76525</v>
      </c>
      <c r="AF12" s="116">
        <f>大1!M278</f>
        <v>74580</v>
      </c>
      <c r="AG12" s="34">
        <v>84100</v>
      </c>
      <c r="AH12" s="116">
        <f>大1!N278</f>
        <v>66096</v>
      </c>
      <c r="AI12" s="151">
        <f t="shared" si="7"/>
        <v>234075</v>
      </c>
      <c r="AJ12" s="117">
        <f t="shared" si="8"/>
        <v>213802</v>
      </c>
      <c r="AK12" s="151">
        <f t="shared" si="9"/>
        <v>435850</v>
      </c>
      <c r="AL12" s="117">
        <f t="shared" si="10"/>
        <v>410247</v>
      </c>
      <c r="AM12" s="129">
        <f t="shared" si="11"/>
        <v>699350.99380387377</v>
      </c>
      <c r="AN12" s="117">
        <f t="shared" si="0"/>
        <v>674299</v>
      </c>
    </row>
    <row r="13" spans="1:40" ht="20.25" customHeight="1" x14ac:dyDescent="0.15">
      <c r="A13" s="23"/>
      <c r="B13" s="5" t="s">
        <v>25</v>
      </c>
      <c r="C13" s="34">
        <v>31973.175721485917</v>
      </c>
      <c r="D13" s="116">
        <f>ROUND(大1!C279*3/1000,0)</f>
        <v>17606</v>
      </c>
      <c r="E13" s="34">
        <v>20205</v>
      </c>
      <c r="F13" s="117">
        <f>ROUND(大1!D279*3/1000,0)</f>
        <v>23100</v>
      </c>
      <c r="G13" s="34">
        <v>25110</v>
      </c>
      <c r="H13" s="117">
        <f>ROUND(大1!E279*3/1000,0)</f>
        <v>25042</v>
      </c>
      <c r="I13" s="151">
        <f t="shared" si="1"/>
        <v>77288.175721485924</v>
      </c>
      <c r="J13" s="117">
        <f t="shared" si="1"/>
        <v>65748</v>
      </c>
      <c r="K13" s="60">
        <v>28365</v>
      </c>
      <c r="L13" s="117">
        <f>ROUND(大1!F279*3/1000,0)</f>
        <v>24393</v>
      </c>
      <c r="M13" s="34">
        <v>31455</v>
      </c>
      <c r="N13" s="117">
        <f>ROUND(大1!G279*3/1000,0)</f>
        <v>29494</v>
      </c>
      <c r="O13" s="34">
        <v>34245</v>
      </c>
      <c r="P13" s="117">
        <f>ROUND(大1!H279*3/1000,0)</f>
        <v>25745</v>
      </c>
      <c r="Q13" s="151">
        <f t="shared" si="2"/>
        <v>94065</v>
      </c>
      <c r="R13" s="117">
        <f t="shared" si="3"/>
        <v>79632</v>
      </c>
      <c r="S13" s="151">
        <f t="shared" si="4"/>
        <v>171353.17572148592</v>
      </c>
      <c r="T13" s="117">
        <f t="shared" si="4"/>
        <v>145380</v>
      </c>
      <c r="U13" s="60">
        <v>37620</v>
      </c>
      <c r="V13" s="117">
        <f>ROUND(大1!I279*3/1000,0)</f>
        <v>29187</v>
      </c>
      <c r="W13" s="34">
        <v>40635</v>
      </c>
      <c r="X13" s="117">
        <f>ROUND(大1!J279*3/1000,0)</f>
        <v>26994</v>
      </c>
      <c r="Y13" s="186">
        <v>42810</v>
      </c>
      <c r="Z13" s="117">
        <f>ROUND(大1!K279*3/1000,0)</f>
        <v>27792</v>
      </c>
      <c r="AA13" s="151">
        <f t="shared" si="5"/>
        <v>121065</v>
      </c>
      <c r="AB13" s="117">
        <f t="shared" si="6"/>
        <v>83973</v>
      </c>
      <c r="AC13" s="60">
        <v>44070</v>
      </c>
      <c r="AD13" s="117">
        <f>ROUND(大1!L279*3/1000,0)</f>
        <v>28265</v>
      </c>
      <c r="AE13" s="34">
        <v>45915</v>
      </c>
      <c r="AF13" s="117">
        <f>ROUND(大1!M279*3/1000,0)</f>
        <v>28677</v>
      </c>
      <c r="AG13" s="34">
        <v>50460</v>
      </c>
      <c r="AH13" s="117">
        <f>ROUND(大1!N279*3/1000,0)</f>
        <v>25394</v>
      </c>
      <c r="AI13" s="151">
        <f t="shared" si="7"/>
        <v>140445</v>
      </c>
      <c r="AJ13" s="117">
        <f t="shared" si="8"/>
        <v>82336</v>
      </c>
      <c r="AK13" s="151">
        <f t="shared" si="9"/>
        <v>261510</v>
      </c>
      <c r="AL13" s="117">
        <f t="shared" si="10"/>
        <v>166309</v>
      </c>
      <c r="AM13" s="129">
        <f t="shared" si="11"/>
        <v>432863.17572148592</v>
      </c>
      <c r="AN13" s="117">
        <f t="shared" si="0"/>
        <v>311689</v>
      </c>
    </row>
    <row r="14" spans="1:40" ht="20.25" customHeight="1" x14ac:dyDescent="0.15">
      <c r="A14" s="26"/>
      <c r="B14" s="27" t="s">
        <v>26</v>
      </c>
      <c r="C14" s="35">
        <v>200000</v>
      </c>
      <c r="D14" s="182">
        <f>大1!C273</f>
        <v>224940</v>
      </c>
      <c r="E14" s="35">
        <v>225000</v>
      </c>
      <c r="F14" s="118">
        <f>大1!D273</f>
        <v>272290</v>
      </c>
      <c r="G14" s="35">
        <v>260000</v>
      </c>
      <c r="H14" s="118">
        <f>大1!E273</f>
        <v>322630</v>
      </c>
      <c r="I14" s="152">
        <f t="shared" si="1"/>
        <v>685000</v>
      </c>
      <c r="J14" s="118">
        <f t="shared" si="1"/>
        <v>819860</v>
      </c>
      <c r="K14" s="61">
        <v>295000</v>
      </c>
      <c r="L14" s="118">
        <f>大1!F273</f>
        <v>339610</v>
      </c>
      <c r="M14" s="35">
        <v>325000</v>
      </c>
      <c r="N14" s="118">
        <f>大1!G273</f>
        <v>349620</v>
      </c>
      <c r="O14" s="35">
        <v>355000</v>
      </c>
      <c r="P14" s="118">
        <f>大1!H273</f>
        <v>337050</v>
      </c>
      <c r="Q14" s="152">
        <f t="shared" si="2"/>
        <v>975000</v>
      </c>
      <c r="R14" s="118">
        <f t="shared" si="3"/>
        <v>1026280</v>
      </c>
      <c r="S14" s="152">
        <f t="shared" si="4"/>
        <v>1660000</v>
      </c>
      <c r="T14" s="118">
        <f t="shared" si="4"/>
        <v>1846140</v>
      </c>
      <c r="U14" s="61">
        <v>380000</v>
      </c>
      <c r="V14" s="118">
        <f>大1!I273</f>
        <v>368370</v>
      </c>
      <c r="W14" s="35">
        <v>415000</v>
      </c>
      <c r="X14" s="118">
        <f>大1!J273</f>
        <v>350680</v>
      </c>
      <c r="Y14" s="187">
        <v>440000</v>
      </c>
      <c r="Z14" s="118">
        <f>大1!K273</f>
        <v>341800</v>
      </c>
      <c r="AA14" s="152">
        <f t="shared" si="5"/>
        <v>1235000</v>
      </c>
      <c r="AB14" s="118">
        <f t="shared" si="6"/>
        <v>1060850</v>
      </c>
      <c r="AC14" s="61">
        <v>460000</v>
      </c>
      <c r="AD14" s="118">
        <f>大1!L273</f>
        <v>354370</v>
      </c>
      <c r="AE14" s="35">
        <v>475000</v>
      </c>
      <c r="AF14" s="118">
        <f>大1!M273</f>
        <v>356970</v>
      </c>
      <c r="AG14" s="35">
        <v>490000</v>
      </c>
      <c r="AH14" s="118">
        <f>大1!N273</f>
        <v>310040</v>
      </c>
      <c r="AI14" s="152">
        <f t="shared" si="7"/>
        <v>1425000</v>
      </c>
      <c r="AJ14" s="118">
        <f t="shared" si="8"/>
        <v>1021380</v>
      </c>
      <c r="AK14" s="152">
        <f t="shared" si="9"/>
        <v>2660000</v>
      </c>
      <c r="AL14" s="118">
        <f t="shared" si="10"/>
        <v>2082230</v>
      </c>
      <c r="AM14" s="130">
        <f t="shared" si="11"/>
        <v>4320000</v>
      </c>
      <c r="AN14" s="118">
        <f t="shared" si="0"/>
        <v>3928370</v>
      </c>
    </row>
    <row r="15" spans="1:40" ht="20.25" customHeight="1" x14ac:dyDescent="0.15">
      <c r="A15" s="21" t="s">
        <v>77</v>
      </c>
      <c r="B15" s="22" t="s">
        <v>68</v>
      </c>
      <c r="C15" s="34">
        <v>0</v>
      </c>
      <c r="D15" s="4"/>
      <c r="E15" s="34">
        <v>0</v>
      </c>
      <c r="F15" s="4"/>
      <c r="G15" s="34">
        <v>0</v>
      </c>
      <c r="H15" s="4"/>
      <c r="I15" s="151">
        <f t="shared" si="1"/>
        <v>0</v>
      </c>
      <c r="J15" s="117">
        <f t="shared" si="1"/>
        <v>0</v>
      </c>
      <c r="K15" s="60">
        <v>0</v>
      </c>
      <c r="L15" s="4"/>
      <c r="M15" s="34">
        <v>0</v>
      </c>
      <c r="N15" s="4"/>
      <c r="O15" s="34">
        <v>0</v>
      </c>
      <c r="P15" s="4"/>
      <c r="Q15" s="151">
        <f t="shared" si="2"/>
        <v>0</v>
      </c>
      <c r="R15" s="117">
        <f t="shared" si="3"/>
        <v>0</v>
      </c>
      <c r="S15" s="151">
        <f t="shared" si="4"/>
        <v>0</v>
      </c>
      <c r="T15" s="117">
        <f t="shared" si="4"/>
        <v>0</v>
      </c>
      <c r="U15" s="60">
        <v>0</v>
      </c>
      <c r="V15" s="4"/>
      <c r="W15" s="34">
        <v>0</v>
      </c>
      <c r="X15" s="4"/>
      <c r="Y15" s="186">
        <v>0</v>
      </c>
      <c r="Z15" s="4"/>
      <c r="AA15" s="151">
        <f t="shared" si="5"/>
        <v>0</v>
      </c>
      <c r="AB15" s="117">
        <f t="shared" si="6"/>
        <v>0</v>
      </c>
      <c r="AC15" s="60">
        <v>0</v>
      </c>
      <c r="AD15" s="4"/>
      <c r="AE15" s="34">
        <v>0</v>
      </c>
      <c r="AF15" s="4"/>
      <c r="AG15" s="34">
        <v>0</v>
      </c>
      <c r="AH15" s="4"/>
      <c r="AI15" s="151">
        <f t="shared" si="7"/>
        <v>0</v>
      </c>
      <c r="AJ15" s="117">
        <f t="shared" si="8"/>
        <v>0</v>
      </c>
      <c r="AK15" s="151">
        <f t="shared" si="9"/>
        <v>0</v>
      </c>
      <c r="AL15" s="117">
        <f t="shared" si="10"/>
        <v>0</v>
      </c>
      <c r="AM15" s="129">
        <f t="shared" si="11"/>
        <v>0</v>
      </c>
      <c r="AN15" s="117">
        <f t="shared" si="0"/>
        <v>0</v>
      </c>
    </row>
    <row r="16" spans="1:40" ht="20.25" customHeight="1" x14ac:dyDescent="0.15">
      <c r="A16" s="21" t="s">
        <v>78</v>
      </c>
      <c r="B16" s="6" t="s">
        <v>69</v>
      </c>
      <c r="C16" s="34">
        <v>50000</v>
      </c>
      <c r="D16" s="4">
        <v>52070</v>
      </c>
      <c r="E16" s="34">
        <v>50000</v>
      </c>
      <c r="F16" s="4">
        <v>52070</v>
      </c>
      <c r="G16" s="34">
        <v>65000</v>
      </c>
      <c r="H16" s="4">
        <v>18351</v>
      </c>
      <c r="I16" s="151">
        <f t="shared" si="1"/>
        <v>165000</v>
      </c>
      <c r="J16" s="117">
        <f t="shared" si="1"/>
        <v>122491</v>
      </c>
      <c r="K16" s="60">
        <v>65000</v>
      </c>
      <c r="L16" s="4">
        <v>26030</v>
      </c>
      <c r="M16" s="34">
        <v>65000</v>
      </c>
      <c r="N16" s="4">
        <v>25034</v>
      </c>
      <c r="O16" s="34">
        <v>65000</v>
      </c>
      <c r="P16" s="4">
        <f>23031-13728</f>
        <v>9303</v>
      </c>
      <c r="Q16" s="151">
        <f t="shared" si="2"/>
        <v>195000</v>
      </c>
      <c r="R16" s="117">
        <f t="shared" si="3"/>
        <v>60367</v>
      </c>
      <c r="S16" s="151">
        <f t="shared" si="4"/>
        <v>360000</v>
      </c>
      <c r="T16" s="117">
        <f t="shared" si="4"/>
        <v>182858</v>
      </c>
      <c r="U16" s="60">
        <v>65000</v>
      </c>
      <c r="V16" s="4">
        <v>24010</v>
      </c>
      <c r="W16" s="34">
        <v>65000</v>
      </c>
      <c r="X16" s="4">
        <f>24010-12819</f>
        <v>11191</v>
      </c>
      <c r="Y16" s="186">
        <v>65000</v>
      </c>
      <c r="Z16" s="4">
        <v>24010</v>
      </c>
      <c r="AA16" s="151">
        <f t="shared" si="5"/>
        <v>195000</v>
      </c>
      <c r="AB16" s="117">
        <f t="shared" si="6"/>
        <v>59211</v>
      </c>
      <c r="AC16" s="60">
        <v>65000</v>
      </c>
      <c r="AD16" s="4">
        <f>24010+28346</f>
        <v>52356</v>
      </c>
      <c r="AE16" s="34">
        <v>65000</v>
      </c>
      <c r="AF16" s="4">
        <v>22220</v>
      </c>
      <c r="AG16" s="34">
        <v>65000</v>
      </c>
      <c r="AH16" s="4">
        <v>22220</v>
      </c>
      <c r="AI16" s="151">
        <f t="shared" si="7"/>
        <v>195000</v>
      </c>
      <c r="AJ16" s="117">
        <f t="shared" si="8"/>
        <v>96796</v>
      </c>
      <c r="AK16" s="151">
        <f t="shared" si="9"/>
        <v>390000</v>
      </c>
      <c r="AL16" s="117">
        <f t="shared" si="10"/>
        <v>156007</v>
      </c>
      <c r="AM16" s="129">
        <f t="shared" si="11"/>
        <v>750000</v>
      </c>
      <c r="AN16" s="117">
        <f t="shared" si="0"/>
        <v>338865</v>
      </c>
    </row>
    <row r="17" spans="1:40" ht="20.25" customHeight="1" x14ac:dyDescent="0.15">
      <c r="A17" s="21" t="s">
        <v>79</v>
      </c>
      <c r="B17" s="6" t="s">
        <v>70</v>
      </c>
      <c r="C17" s="34">
        <v>3000</v>
      </c>
      <c r="D17" s="4"/>
      <c r="E17" s="34">
        <v>3000</v>
      </c>
      <c r="F17" s="4"/>
      <c r="G17" s="34">
        <v>3000</v>
      </c>
      <c r="H17" s="4"/>
      <c r="I17" s="151">
        <f t="shared" si="1"/>
        <v>9000</v>
      </c>
      <c r="J17" s="117">
        <f t="shared" si="1"/>
        <v>0</v>
      </c>
      <c r="K17" s="60">
        <v>3000</v>
      </c>
      <c r="L17" s="4"/>
      <c r="M17" s="34">
        <v>3000</v>
      </c>
      <c r="N17" s="4"/>
      <c r="O17" s="34">
        <v>3000</v>
      </c>
      <c r="P17" s="4"/>
      <c r="Q17" s="151">
        <f t="shared" si="2"/>
        <v>9000</v>
      </c>
      <c r="R17" s="117">
        <f t="shared" si="3"/>
        <v>0</v>
      </c>
      <c r="S17" s="151">
        <f t="shared" si="4"/>
        <v>18000</v>
      </c>
      <c r="T17" s="117">
        <f t="shared" si="4"/>
        <v>0</v>
      </c>
      <c r="U17" s="60">
        <v>3000</v>
      </c>
      <c r="V17" s="4"/>
      <c r="W17" s="34">
        <v>3000</v>
      </c>
      <c r="X17" s="4">
        <v>8820</v>
      </c>
      <c r="Y17" s="186">
        <v>3000</v>
      </c>
      <c r="Z17" s="4"/>
      <c r="AA17" s="151">
        <f t="shared" si="5"/>
        <v>9000</v>
      </c>
      <c r="AB17" s="117">
        <f t="shared" si="6"/>
        <v>8820</v>
      </c>
      <c r="AC17" s="60">
        <v>3000</v>
      </c>
      <c r="AD17" s="4"/>
      <c r="AE17" s="34">
        <v>3000</v>
      </c>
      <c r="AF17" s="4">
        <f>27273+6253+1500</f>
        <v>35026</v>
      </c>
      <c r="AG17" s="34">
        <v>3000</v>
      </c>
      <c r="AH17" s="4"/>
      <c r="AI17" s="151">
        <f t="shared" si="7"/>
        <v>9000</v>
      </c>
      <c r="AJ17" s="117">
        <f t="shared" si="8"/>
        <v>35026</v>
      </c>
      <c r="AK17" s="151">
        <f t="shared" si="9"/>
        <v>18000</v>
      </c>
      <c r="AL17" s="117">
        <f t="shared" si="10"/>
        <v>43846</v>
      </c>
      <c r="AM17" s="129">
        <f t="shared" si="11"/>
        <v>36000</v>
      </c>
      <c r="AN17" s="117">
        <f t="shared" si="0"/>
        <v>43846</v>
      </c>
    </row>
    <row r="18" spans="1:40" ht="20.25" customHeight="1" x14ac:dyDescent="0.15">
      <c r="A18" s="23"/>
      <c r="B18" s="6" t="s">
        <v>187</v>
      </c>
      <c r="C18" s="34">
        <v>18000</v>
      </c>
      <c r="D18" s="4">
        <v>6500</v>
      </c>
      <c r="E18" s="34">
        <v>18000</v>
      </c>
      <c r="F18" s="4">
        <v>6518</v>
      </c>
      <c r="G18" s="34">
        <v>0</v>
      </c>
      <c r="H18" s="4"/>
      <c r="I18" s="151">
        <f t="shared" si="1"/>
        <v>36000</v>
      </c>
      <c r="J18" s="117">
        <f t="shared" si="1"/>
        <v>13018</v>
      </c>
      <c r="K18" s="60">
        <v>0</v>
      </c>
      <c r="L18" s="4">
        <v>3472</v>
      </c>
      <c r="M18" s="34">
        <v>54000</v>
      </c>
      <c r="N18" s="4">
        <v>6518</v>
      </c>
      <c r="O18" s="34">
        <v>80000</v>
      </c>
      <c r="P18" s="4">
        <f>7910+6834</f>
        <v>14744</v>
      </c>
      <c r="Q18" s="151">
        <f t="shared" si="2"/>
        <v>134000</v>
      </c>
      <c r="R18" s="117">
        <f t="shared" si="3"/>
        <v>24734</v>
      </c>
      <c r="S18" s="151">
        <f t="shared" si="4"/>
        <v>170000</v>
      </c>
      <c r="T18" s="117">
        <f>J18+R18</f>
        <v>37752</v>
      </c>
      <c r="U18" s="60">
        <v>80000</v>
      </c>
      <c r="V18" s="4">
        <f>30399+3518</f>
        <v>33917</v>
      </c>
      <c r="W18" s="34">
        <v>80000</v>
      </c>
      <c r="X18" s="4">
        <f>6518+3472</f>
        <v>9990</v>
      </c>
      <c r="Y18" s="186">
        <v>27000</v>
      </c>
      <c r="Z18" s="4">
        <f>32000+5500</f>
        <v>37500</v>
      </c>
      <c r="AA18" s="151">
        <f t="shared" si="5"/>
        <v>187000</v>
      </c>
      <c r="AB18" s="117">
        <f t="shared" si="6"/>
        <v>81407</v>
      </c>
      <c r="AC18" s="60">
        <v>18000</v>
      </c>
      <c r="AD18" s="4">
        <v>6516</v>
      </c>
      <c r="AE18" s="34">
        <v>18000</v>
      </c>
      <c r="AF18" s="4">
        <f>6518+9091+6518+6518</f>
        <v>28645</v>
      </c>
      <c r="AG18" s="34">
        <v>9000</v>
      </c>
      <c r="AH18" s="4">
        <f>6518+3472+6518+6518</f>
        <v>23026</v>
      </c>
      <c r="AI18" s="151">
        <f t="shared" si="7"/>
        <v>45000</v>
      </c>
      <c r="AJ18" s="117">
        <f t="shared" si="8"/>
        <v>58187</v>
      </c>
      <c r="AK18" s="151">
        <f t="shared" si="9"/>
        <v>232000</v>
      </c>
      <c r="AL18" s="117">
        <f t="shared" si="10"/>
        <v>139594</v>
      </c>
      <c r="AM18" s="129">
        <f t="shared" si="11"/>
        <v>402000</v>
      </c>
      <c r="AN18" s="117">
        <f t="shared" si="0"/>
        <v>177346</v>
      </c>
    </row>
    <row r="19" spans="1:40" ht="20.25" customHeight="1" thickBot="1" x14ac:dyDescent="0.2">
      <c r="A19" s="23"/>
      <c r="B19" s="6" t="s">
        <v>72</v>
      </c>
      <c r="C19" s="34">
        <v>3000</v>
      </c>
      <c r="D19" s="4"/>
      <c r="E19" s="34">
        <v>3000</v>
      </c>
      <c r="F19" s="4"/>
      <c r="G19" s="34">
        <v>3000</v>
      </c>
      <c r="H19" s="4"/>
      <c r="I19" s="151">
        <f t="shared" si="1"/>
        <v>9000</v>
      </c>
      <c r="J19" s="117">
        <f t="shared" si="1"/>
        <v>0</v>
      </c>
      <c r="K19" s="60">
        <v>3000</v>
      </c>
      <c r="L19" s="4"/>
      <c r="M19" s="34">
        <v>3000</v>
      </c>
      <c r="N19" s="4"/>
      <c r="O19" s="34">
        <v>3000</v>
      </c>
      <c r="P19" s="4"/>
      <c r="Q19" s="151">
        <f t="shared" si="2"/>
        <v>9000</v>
      </c>
      <c r="R19" s="117">
        <f t="shared" si="3"/>
        <v>0</v>
      </c>
      <c r="S19" s="151">
        <f t="shared" si="4"/>
        <v>18000</v>
      </c>
      <c r="T19" s="117">
        <f t="shared" si="4"/>
        <v>0</v>
      </c>
      <c r="U19" s="60">
        <v>3000</v>
      </c>
      <c r="V19" s="4"/>
      <c r="W19" s="34">
        <v>3000</v>
      </c>
      <c r="X19" s="89"/>
      <c r="Y19" s="186">
        <v>3000</v>
      </c>
      <c r="Z19" s="4"/>
      <c r="AA19" s="151">
        <f t="shared" si="5"/>
        <v>9000</v>
      </c>
      <c r="AB19" s="117">
        <f t="shared" si="6"/>
        <v>0</v>
      </c>
      <c r="AC19" s="60">
        <v>3000</v>
      </c>
      <c r="AD19" s="4"/>
      <c r="AE19" s="34">
        <v>3000</v>
      </c>
      <c r="AF19" s="4"/>
      <c r="AG19" s="34">
        <v>3000</v>
      </c>
      <c r="AH19" s="4"/>
      <c r="AI19" s="151">
        <f t="shared" si="7"/>
        <v>9000</v>
      </c>
      <c r="AJ19" s="117">
        <f t="shared" si="8"/>
        <v>0</v>
      </c>
      <c r="AK19" s="151">
        <f t="shared" si="9"/>
        <v>18000</v>
      </c>
      <c r="AL19" s="117">
        <f t="shared" si="10"/>
        <v>0</v>
      </c>
      <c r="AM19" s="129">
        <f t="shared" si="11"/>
        <v>36000</v>
      </c>
      <c r="AN19" s="117">
        <f t="shared" si="0"/>
        <v>0</v>
      </c>
    </row>
    <row r="20" spans="1:40" ht="20.25" customHeight="1" thickTop="1" thickBot="1" x14ac:dyDescent="0.2">
      <c r="A20" s="24"/>
      <c r="B20" s="7" t="s">
        <v>27</v>
      </c>
      <c r="C20" s="36">
        <f>SUM(C6:C19)</f>
        <v>6678240.192109854</v>
      </c>
      <c r="D20" s="8">
        <f>SUM(D6:D19)</f>
        <v>6805130</v>
      </c>
      <c r="E20" s="36">
        <f t="shared" ref="E20:AH20" si="12">SUM(E6:E19)</f>
        <v>7839455</v>
      </c>
      <c r="F20" s="8">
        <f>SUM(F6:F19)</f>
        <v>8727929</v>
      </c>
      <c r="G20" s="36">
        <f t="shared" si="12"/>
        <v>9721610</v>
      </c>
      <c r="H20" s="8">
        <f t="shared" si="12"/>
        <v>9372913</v>
      </c>
      <c r="I20" s="36">
        <f t="shared" si="12"/>
        <v>24239305.192109853</v>
      </c>
      <c r="J20" s="8">
        <f t="shared" si="12"/>
        <v>24905972</v>
      </c>
      <c r="K20" s="62">
        <f t="shared" si="12"/>
        <v>10972615</v>
      </c>
      <c r="L20" s="8">
        <f>SUM(L6:L19)</f>
        <v>9173601</v>
      </c>
      <c r="M20" s="36">
        <f t="shared" si="12"/>
        <v>12214205</v>
      </c>
      <c r="N20" s="8">
        <f>SUM(N6:N19)</f>
        <v>11054804</v>
      </c>
      <c r="O20" s="36">
        <f t="shared" si="12"/>
        <v>13312495</v>
      </c>
      <c r="P20" s="8">
        <f t="shared" si="12"/>
        <v>9806658</v>
      </c>
      <c r="Q20" s="36">
        <f>SUM(Q6:Q19)</f>
        <v>36499315</v>
      </c>
      <c r="R20" s="8">
        <f>SUM(R6:R19)</f>
        <v>30035063</v>
      </c>
      <c r="S20" s="36">
        <f t="shared" si="12"/>
        <v>60738620.192109853</v>
      </c>
      <c r="T20" s="8">
        <f t="shared" si="12"/>
        <v>54941035</v>
      </c>
      <c r="U20" s="62">
        <f t="shared" si="12"/>
        <v>14609620</v>
      </c>
      <c r="V20" s="8">
        <f t="shared" si="12"/>
        <v>11111713</v>
      </c>
      <c r="W20" s="36">
        <f t="shared" si="12"/>
        <v>15768385</v>
      </c>
      <c r="X20" s="8">
        <f t="shared" si="12"/>
        <v>10382352</v>
      </c>
      <c r="Y20" s="36">
        <f t="shared" si="12"/>
        <v>16551310</v>
      </c>
      <c r="Z20" s="8">
        <f>SUM(Z6:Z19)</f>
        <v>10700303</v>
      </c>
      <c r="AA20" s="36">
        <f>SUM(AA6:AA19)</f>
        <v>46929315</v>
      </c>
      <c r="AB20" s="8">
        <f>SUM(AB6:AB19)</f>
        <v>32194368</v>
      </c>
      <c r="AC20" s="62">
        <f t="shared" si="12"/>
        <v>17026570</v>
      </c>
      <c r="AD20" s="8">
        <f t="shared" si="12"/>
        <v>10877406</v>
      </c>
      <c r="AE20" s="36">
        <f t="shared" si="12"/>
        <v>17735665</v>
      </c>
      <c r="AF20" s="8">
        <f t="shared" si="12"/>
        <v>11005796</v>
      </c>
      <c r="AG20" s="36">
        <f t="shared" si="12"/>
        <v>19473460</v>
      </c>
      <c r="AH20" s="8">
        <f t="shared" si="12"/>
        <v>9767311</v>
      </c>
      <c r="AI20" s="36">
        <f>SUM(AI6:AI19)</f>
        <v>54235695</v>
      </c>
      <c r="AJ20" s="8">
        <f>SUM(AJ6:AJ19)</f>
        <v>31650513</v>
      </c>
      <c r="AK20" s="36">
        <f>SUM(AK6:AK19)</f>
        <v>101165010</v>
      </c>
      <c r="AL20" s="8">
        <f>SUM(AL6:AL19)</f>
        <v>63844881</v>
      </c>
      <c r="AM20" s="62">
        <f>SUM(AM6:AM19)</f>
        <v>161903630.19210988</v>
      </c>
      <c r="AN20" s="8">
        <f t="shared" si="0"/>
        <v>118785916</v>
      </c>
    </row>
    <row r="21" spans="1:40" ht="20.25" customHeight="1" x14ac:dyDescent="0.15">
      <c r="A21" s="218" t="s">
        <v>28</v>
      </c>
      <c r="B21" s="219"/>
      <c r="C21" s="37">
        <f>C5-C20</f>
        <v>3161759.807890146</v>
      </c>
      <c r="D21" s="9">
        <f>D5-D20</f>
        <v>3086247</v>
      </c>
      <c r="E21" s="37">
        <f t="shared" ref="E21:AH21" si="13">E5-E20</f>
        <v>3400545</v>
      </c>
      <c r="F21" s="9">
        <f t="shared" si="13"/>
        <v>3790330</v>
      </c>
      <c r="G21" s="37">
        <f t="shared" si="13"/>
        <v>3478390</v>
      </c>
      <c r="H21" s="9">
        <f t="shared" si="13"/>
        <v>4081484</v>
      </c>
      <c r="I21" s="37">
        <f t="shared" si="13"/>
        <v>10040694.807890147</v>
      </c>
      <c r="J21" s="9">
        <f t="shared" si="13"/>
        <v>10958061</v>
      </c>
      <c r="K21" s="63">
        <f t="shared" si="13"/>
        <v>4187385</v>
      </c>
      <c r="L21" s="9">
        <f t="shared" si="13"/>
        <v>3881629</v>
      </c>
      <c r="M21" s="37">
        <f t="shared" si="13"/>
        <v>4625795</v>
      </c>
      <c r="N21" s="9">
        <f t="shared" si="13"/>
        <v>4864618</v>
      </c>
      <c r="O21" s="37">
        <f t="shared" si="13"/>
        <v>5207505</v>
      </c>
      <c r="P21" s="9">
        <f t="shared" si="13"/>
        <v>4107675</v>
      </c>
      <c r="Q21" s="37">
        <f>Q5-Q20</f>
        <v>14020685</v>
      </c>
      <c r="R21" s="9">
        <f>R5-R20</f>
        <v>12853922</v>
      </c>
      <c r="S21" s="37">
        <f t="shared" si="13"/>
        <v>24061379.807890147</v>
      </c>
      <c r="T21" s="9">
        <f t="shared" si="13"/>
        <v>23811983</v>
      </c>
      <c r="U21" s="63">
        <f t="shared" si="13"/>
        <v>5310380</v>
      </c>
      <c r="V21" s="9">
        <f t="shared" si="13"/>
        <v>4123613</v>
      </c>
      <c r="W21" s="37">
        <f t="shared" si="13"/>
        <v>6111615</v>
      </c>
      <c r="X21" s="9">
        <f t="shared" si="13"/>
        <v>4764853</v>
      </c>
      <c r="Y21" s="37">
        <f t="shared" si="13"/>
        <v>6448690</v>
      </c>
      <c r="Z21" s="9">
        <f>Z5-Z20</f>
        <v>4152211</v>
      </c>
      <c r="AA21" s="37">
        <f>AA5-AA20</f>
        <v>17870685</v>
      </c>
      <c r="AB21" s="9">
        <f>AB5-AB20</f>
        <v>13040677</v>
      </c>
      <c r="AC21" s="63">
        <f t="shared" si="13"/>
        <v>7093430</v>
      </c>
      <c r="AD21" s="9">
        <f t="shared" si="13"/>
        <v>4580712</v>
      </c>
      <c r="AE21" s="37">
        <f t="shared" si="13"/>
        <v>7224335</v>
      </c>
      <c r="AF21" s="9">
        <f t="shared" si="13"/>
        <v>3960335</v>
      </c>
      <c r="AG21" s="37">
        <f t="shared" si="13"/>
        <v>6326540</v>
      </c>
      <c r="AH21" s="9">
        <f t="shared" si="13"/>
        <v>3520802</v>
      </c>
      <c r="AI21" s="37">
        <f>AI5-AI20</f>
        <v>20644305</v>
      </c>
      <c r="AJ21" s="9">
        <f>AJ5-AJ20</f>
        <v>12061849</v>
      </c>
      <c r="AK21" s="37">
        <f>AK5-AK20</f>
        <v>38514990</v>
      </c>
      <c r="AL21" s="9">
        <f>AL5-AL20</f>
        <v>25102526</v>
      </c>
      <c r="AM21" s="63">
        <f>AM5-AM20</f>
        <v>62576369.807890117</v>
      </c>
      <c r="AN21" s="9">
        <f t="shared" si="0"/>
        <v>48914509</v>
      </c>
    </row>
    <row r="22" spans="1:40" s="11" customFormat="1" ht="20.25" customHeight="1" thickBot="1" x14ac:dyDescent="0.2">
      <c r="A22" s="210" t="s">
        <v>29</v>
      </c>
      <c r="B22" s="211"/>
      <c r="C22" s="38">
        <f>IF(C5=0,"        ―",C21/C5)</f>
        <v>0.32131705364737256</v>
      </c>
      <c r="D22" s="10">
        <f t="shared" ref="D22:AN22" si="14">IF(D5=0,"        ―",D21/D5)</f>
        <v>0.31201388846062583</v>
      </c>
      <c r="E22" s="38">
        <f t="shared" si="14"/>
        <v>0.30253959074733094</v>
      </c>
      <c r="F22" s="10">
        <f t="shared" si="14"/>
        <v>0.3027841171843465</v>
      </c>
      <c r="G22" s="38">
        <f t="shared" si="14"/>
        <v>0.26351439393939396</v>
      </c>
      <c r="H22" s="10">
        <f t="shared" si="14"/>
        <v>0.30335688771484892</v>
      </c>
      <c r="I22" s="38">
        <f t="shared" si="14"/>
        <v>0.29290241563273473</v>
      </c>
      <c r="J22" s="10">
        <f t="shared" si="14"/>
        <v>0.30554458278576757</v>
      </c>
      <c r="K22" s="64">
        <f t="shared" si="14"/>
        <v>0.27621273087071241</v>
      </c>
      <c r="L22" s="10">
        <f t="shared" si="14"/>
        <v>0.29732367794362874</v>
      </c>
      <c r="M22" s="38">
        <f t="shared" si="14"/>
        <v>0.27469091448931116</v>
      </c>
      <c r="N22" s="10">
        <f t="shared" si="14"/>
        <v>0.30557755174779588</v>
      </c>
      <c r="O22" s="38">
        <f t="shared" si="14"/>
        <v>0.28118277537796976</v>
      </c>
      <c r="P22" s="10">
        <f t="shared" si="14"/>
        <v>0.29521177910576096</v>
      </c>
      <c r="Q22" s="38">
        <f>IF(Q5=0,"        ―",Q21/Q5)</f>
        <v>0.277527414885194</v>
      </c>
      <c r="R22" s="10">
        <f>IF(R5=0,"        ―",R21/R5)</f>
        <v>0.29970217294720314</v>
      </c>
      <c r="S22" s="38">
        <f t="shared" si="14"/>
        <v>0.28374268641379891</v>
      </c>
      <c r="T22" s="10">
        <f t="shared" si="14"/>
        <v>0.30236279960724805</v>
      </c>
      <c r="U22" s="64">
        <f t="shared" si="14"/>
        <v>0.26658534136546186</v>
      </c>
      <c r="V22" s="10">
        <f t="shared" si="14"/>
        <v>0.27066129073969275</v>
      </c>
      <c r="W22" s="38">
        <f t="shared" si="14"/>
        <v>0.27932426873857402</v>
      </c>
      <c r="X22" s="10">
        <f t="shared" si="14"/>
        <v>0.31456978366635957</v>
      </c>
      <c r="Y22" s="38">
        <f t="shared" si="14"/>
        <v>0.28037782608695649</v>
      </c>
      <c r="Z22" s="10">
        <f t="shared" si="14"/>
        <v>0.2795628403380061</v>
      </c>
      <c r="AA22" s="38">
        <f>IF(AA5=0,"        ―",AA21/AA5)</f>
        <v>0.27578217592592591</v>
      </c>
      <c r="AB22" s="10">
        <f>IF(AB5=0,"        ―",AB21/AB5)</f>
        <v>0.28828703497476349</v>
      </c>
      <c r="AC22" s="64">
        <f t="shared" si="14"/>
        <v>0.2940891376451078</v>
      </c>
      <c r="AD22" s="10">
        <f t="shared" si="14"/>
        <v>0.29633051060937687</v>
      </c>
      <c r="AE22" s="38">
        <f t="shared" si="14"/>
        <v>0.2894364983974359</v>
      </c>
      <c r="AF22" s="10">
        <f t="shared" si="14"/>
        <v>0.26461982726196903</v>
      </c>
      <c r="AG22" s="38">
        <f t="shared" si="14"/>
        <v>0.24521472868217054</v>
      </c>
      <c r="AH22" s="10">
        <f t="shared" si="14"/>
        <v>0.26495876427300097</v>
      </c>
      <c r="AI22" s="38">
        <f>IF(AI5=0,"        ―",AI21/AI5)</f>
        <v>0.27569851762820513</v>
      </c>
      <c r="AJ22" s="10">
        <f>IF(AJ5=0,"        ―",AJ21/AJ5)</f>
        <v>0.27593679334921323</v>
      </c>
      <c r="AK22" s="38">
        <f>IF(AK5=0,"        ―",AK21/AK5)</f>
        <v>0.27573732817869417</v>
      </c>
      <c r="AL22" s="10">
        <f>IF(AL5=0,"        ―",AL21/AL5)</f>
        <v>0.28221762552336122</v>
      </c>
      <c r="AM22" s="64">
        <f t="shared" si="14"/>
        <v>0.27876144782559747</v>
      </c>
      <c r="AN22" s="10">
        <f t="shared" si="14"/>
        <v>0.29167790719671699</v>
      </c>
    </row>
    <row r="23" spans="1:40" ht="20.25" customHeight="1" x14ac:dyDescent="0.15">
      <c r="A23" s="25" t="s">
        <v>30</v>
      </c>
      <c r="B23" s="3" t="s">
        <v>31</v>
      </c>
      <c r="C23" s="34">
        <v>700000</v>
      </c>
      <c r="D23" s="4">
        <v>653250</v>
      </c>
      <c r="E23" s="34">
        <v>700000</v>
      </c>
      <c r="F23" s="4">
        <v>680800</v>
      </c>
      <c r="G23" s="34">
        <v>800000</v>
      </c>
      <c r="H23" s="4">
        <v>657601</v>
      </c>
      <c r="I23" s="151"/>
      <c r="J23" s="117"/>
      <c r="K23" s="60">
        <v>800000</v>
      </c>
      <c r="L23" s="4">
        <v>643376</v>
      </c>
      <c r="M23" s="34">
        <v>800000</v>
      </c>
      <c r="N23" s="4">
        <v>670650</v>
      </c>
      <c r="O23" s="34">
        <v>800000</v>
      </c>
      <c r="P23" s="4">
        <v>673550</v>
      </c>
      <c r="Q23" s="151"/>
      <c r="R23" s="117"/>
      <c r="S23" s="151"/>
      <c r="T23" s="117"/>
      <c r="U23" s="60">
        <v>800000</v>
      </c>
      <c r="V23" s="4">
        <v>665575</v>
      </c>
      <c r="W23" s="34">
        <v>800000</v>
      </c>
      <c r="X23" s="4">
        <v>648992</v>
      </c>
      <c r="Y23" s="34">
        <v>800000</v>
      </c>
      <c r="Z23" s="4">
        <v>654338</v>
      </c>
      <c r="AA23" s="151"/>
      <c r="AB23" s="117"/>
      <c r="AC23" s="60">
        <v>800000</v>
      </c>
      <c r="AD23" s="4">
        <v>668498</v>
      </c>
      <c r="AE23" s="34">
        <v>800000</v>
      </c>
      <c r="AF23" s="4">
        <v>659714</v>
      </c>
      <c r="AG23" s="34">
        <v>800000</v>
      </c>
      <c r="AH23" s="4">
        <v>644260</v>
      </c>
      <c r="AI23" s="151">
        <f>AC23+AE23+AG23</f>
        <v>2400000</v>
      </c>
      <c r="AJ23" s="117">
        <f>AD23+AF23+AH23</f>
        <v>1972472</v>
      </c>
      <c r="AK23" s="151">
        <f>AA23+AI23</f>
        <v>2400000</v>
      </c>
      <c r="AL23" s="117">
        <f>AB23+AJ23</f>
        <v>1972472</v>
      </c>
      <c r="AM23" s="129">
        <f t="shared" ref="AM23:AM31" si="15">SUM(C23,E23,G23,K23,M23,O23,U23,W23,Y23,AC23,AE23,AG23)</f>
        <v>9400000</v>
      </c>
      <c r="AN23" s="117">
        <f>SUM(D23,F23,H23,L23,N23,P23,V23,X23,Z23,AD23,AF23,AH23)</f>
        <v>7920604</v>
      </c>
    </row>
    <row r="24" spans="1:40" ht="20.25" customHeight="1" x14ac:dyDescent="0.15">
      <c r="A24" s="21" t="s">
        <v>80</v>
      </c>
      <c r="B24" s="5" t="s">
        <v>32</v>
      </c>
      <c r="C24" s="34"/>
      <c r="D24" s="4">
        <v>0</v>
      </c>
      <c r="E24" s="34"/>
      <c r="F24" s="4">
        <v>0</v>
      </c>
      <c r="G24" s="34"/>
      <c r="H24" s="4">
        <v>0</v>
      </c>
      <c r="I24" s="151"/>
      <c r="J24" s="117"/>
      <c r="K24" s="60"/>
      <c r="L24" s="4">
        <v>0</v>
      </c>
      <c r="M24" s="34"/>
      <c r="N24" s="4">
        <v>0</v>
      </c>
      <c r="O24" s="34"/>
      <c r="P24" s="4">
        <v>0</v>
      </c>
      <c r="Q24" s="151"/>
      <c r="R24" s="117"/>
      <c r="S24" s="151"/>
      <c r="T24" s="117"/>
      <c r="U24" s="60"/>
      <c r="V24" s="4">
        <v>0</v>
      </c>
      <c r="W24" s="34"/>
      <c r="X24" s="4">
        <v>0</v>
      </c>
      <c r="Y24" s="34"/>
      <c r="Z24" s="4">
        <v>0</v>
      </c>
      <c r="AA24" s="151"/>
      <c r="AB24" s="117"/>
      <c r="AC24" s="60"/>
      <c r="AD24" s="4">
        <v>0</v>
      </c>
      <c r="AE24" s="34"/>
      <c r="AF24" s="4">
        <v>0</v>
      </c>
      <c r="AG24" s="34"/>
      <c r="AH24" s="4">
        <v>0</v>
      </c>
      <c r="AI24" s="151">
        <f t="shared" ref="AI24:AI31" si="16">AC24+AE24+AG24</f>
        <v>0</v>
      </c>
      <c r="AJ24" s="117">
        <f t="shared" ref="AJ24:AJ30" si="17">AD24+AF24+AH24</f>
        <v>0</v>
      </c>
      <c r="AK24" s="151">
        <f t="shared" ref="AK24:AK31" si="18">AA24+AI24</f>
        <v>0</v>
      </c>
      <c r="AL24" s="117">
        <f t="shared" ref="AL24:AL31" si="19">AB24+AJ24</f>
        <v>0</v>
      </c>
      <c r="AM24" s="129">
        <f t="shared" si="15"/>
        <v>0</v>
      </c>
      <c r="AN24" s="117">
        <f t="shared" ref="AN24:AN59" si="20">SUM(D24,F24,H24,L24,N24,P24,V24,X24,Z24,AD24,AF24,AH24)</f>
        <v>0</v>
      </c>
    </row>
    <row r="25" spans="1:40" ht="20.25" customHeight="1" x14ac:dyDescent="0.15">
      <c r="A25" s="23"/>
      <c r="B25" s="5" t="s">
        <v>33</v>
      </c>
      <c r="C25" s="34"/>
      <c r="D25" s="4">
        <v>0</v>
      </c>
      <c r="E25" s="34"/>
      <c r="F25" s="4">
        <v>0</v>
      </c>
      <c r="G25" s="34"/>
      <c r="H25" s="4">
        <v>0</v>
      </c>
      <c r="I25" s="151"/>
      <c r="J25" s="117"/>
      <c r="K25" s="60"/>
      <c r="L25" s="4">
        <v>0</v>
      </c>
      <c r="M25" s="34"/>
      <c r="N25" s="4">
        <v>0</v>
      </c>
      <c r="O25" s="34"/>
      <c r="P25" s="4">
        <v>0</v>
      </c>
      <c r="Q25" s="151"/>
      <c r="R25" s="117"/>
      <c r="S25" s="151"/>
      <c r="T25" s="117"/>
      <c r="U25" s="60"/>
      <c r="V25" s="4">
        <v>0</v>
      </c>
      <c r="W25" s="34"/>
      <c r="X25" s="4">
        <v>0</v>
      </c>
      <c r="Y25" s="34"/>
      <c r="Z25" s="4">
        <v>0</v>
      </c>
      <c r="AA25" s="151"/>
      <c r="AB25" s="117"/>
      <c r="AC25" s="60"/>
      <c r="AD25" s="4">
        <v>0</v>
      </c>
      <c r="AE25" s="34"/>
      <c r="AF25" s="4">
        <v>900000</v>
      </c>
      <c r="AG25" s="34"/>
      <c r="AH25" s="4">
        <v>0</v>
      </c>
      <c r="AI25" s="151">
        <f t="shared" si="16"/>
        <v>0</v>
      </c>
      <c r="AJ25" s="117">
        <f t="shared" si="17"/>
        <v>900000</v>
      </c>
      <c r="AK25" s="151">
        <f t="shared" si="18"/>
        <v>0</v>
      </c>
      <c r="AL25" s="117">
        <f t="shared" si="19"/>
        <v>900000</v>
      </c>
      <c r="AM25" s="129">
        <f t="shared" si="15"/>
        <v>0</v>
      </c>
      <c r="AN25" s="117">
        <f t="shared" si="20"/>
        <v>900000</v>
      </c>
    </row>
    <row r="26" spans="1:40" ht="20.25" customHeight="1" x14ac:dyDescent="0.15">
      <c r="A26" s="23"/>
      <c r="B26" s="5" t="s">
        <v>22</v>
      </c>
      <c r="C26" s="34">
        <v>35977.276039642442</v>
      </c>
      <c r="D26" s="4">
        <v>33854</v>
      </c>
      <c r="E26" s="34">
        <v>35977.276039642442</v>
      </c>
      <c r="F26" s="4">
        <v>33624</v>
      </c>
      <c r="G26" s="34">
        <v>41116.886902448503</v>
      </c>
      <c r="H26" s="4">
        <v>33624</v>
      </c>
      <c r="I26" s="151"/>
      <c r="J26" s="117"/>
      <c r="K26" s="60">
        <v>41116.886902448503</v>
      </c>
      <c r="L26" s="4">
        <v>33624</v>
      </c>
      <c r="M26" s="34">
        <v>41116.886902448503</v>
      </c>
      <c r="N26" s="4">
        <v>33624</v>
      </c>
      <c r="O26" s="34">
        <v>41116.886902448503</v>
      </c>
      <c r="P26" s="4">
        <v>33624</v>
      </c>
      <c r="Q26" s="151"/>
      <c r="R26" s="117"/>
      <c r="S26" s="151"/>
      <c r="T26" s="117"/>
      <c r="U26" s="60">
        <v>41116.886902448503</v>
      </c>
      <c r="V26" s="4">
        <v>33624</v>
      </c>
      <c r="W26" s="34">
        <v>41116.886902448503</v>
      </c>
      <c r="X26" s="4">
        <v>35463</v>
      </c>
      <c r="Y26" s="34">
        <v>41116.886902448503</v>
      </c>
      <c r="Z26" s="4">
        <v>35463</v>
      </c>
      <c r="AA26" s="151"/>
      <c r="AB26" s="117"/>
      <c r="AC26" s="60">
        <v>41116.886902448503</v>
      </c>
      <c r="AD26" s="4">
        <v>35463</v>
      </c>
      <c r="AE26" s="34">
        <v>41116.886902448503</v>
      </c>
      <c r="AF26" s="4">
        <v>35463</v>
      </c>
      <c r="AG26" s="34">
        <v>41116.886902448503</v>
      </c>
      <c r="AH26" s="4">
        <v>35463</v>
      </c>
      <c r="AI26" s="151">
        <f t="shared" si="16"/>
        <v>123350.66070734551</v>
      </c>
      <c r="AJ26" s="117">
        <f t="shared" si="17"/>
        <v>106389</v>
      </c>
      <c r="AK26" s="151">
        <f t="shared" si="18"/>
        <v>123350.66070734551</v>
      </c>
      <c r="AL26" s="117">
        <f t="shared" si="19"/>
        <v>106389</v>
      </c>
      <c r="AM26" s="129">
        <f t="shared" si="15"/>
        <v>483123.4211037698</v>
      </c>
      <c r="AN26" s="117">
        <f t="shared" si="20"/>
        <v>412913</v>
      </c>
    </row>
    <row r="27" spans="1:40" ht="20.25" customHeight="1" x14ac:dyDescent="0.15">
      <c r="A27" s="23"/>
      <c r="B27" s="5" t="s">
        <v>67</v>
      </c>
      <c r="C27" s="34">
        <v>5356.1018266614847</v>
      </c>
      <c r="D27" s="4">
        <v>5040</v>
      </c>
      <c r="E27" s="34">
        <v>5356.1018266614847</v>
      </c>
      <c r="F27" s="4">
        <v>4592</v>
      </c>
      <c r="G27" s="34">
        <v>6121.2592304702684</v>
      </c>
      <c r="H27" s="4">
        <v>4592</v>
      </c>
      <c r="I27" s="151"/>
      <c r="J27" s="117"/>
      <c r="K27" s="60">
        <v>6121.2592304702684</v>
      </c>
      <c r="L27" s="4">
        <v>4592</v>
      </c>
      <c r="M27" s="34">
        <v>6121.2592304702684</v>
      </c>
      <c r="N27" s="4">
        <v>4592</v>
      </c>
      <c r="O27" s="34">
        <v>6121.2592304702684</v>
      </c>
      <c r="P27" s="4">
        <v>4592</v>
      </c>
      <c r="Q27" s="151"/>
      <c r="R27" s="117"/>
      <c r="S27" s="151"/>
      <c r="T27" s="117"/>
      <c r="U27" s="60">
        <v>6121.2592304702684</v>
      </c>
      <c r="V27" s="4">
        <v>4592</v>
      </c>
      <c r="W27" s="34">
        <v>6121.2592304702684</v>
      </c>
      <c r="X27" s="4">
        <v>4592</v>
      </c>
      <c r="Y27" s="34">
        <v>6121.2592304702684</v>
      </c>
      <c r="Z27" s="4">
        <v>4592</v>
      </c>
      <c r="AA27" s="151"/>
      <c r="AB27" s="117"/>
      <c r="AC27" s="60">
        <v>6121.2592304702684</v>
      </c>
      <c r="AD27" s="4">
        <v>4592</v>
      </c>
      <c r="AE27" s="34">
        <v>6121.2592304702684</v>
      </c>
      <c r="AF27" s="4">
        <v>4592</v>
      </c>
      <c r="AG27" s="34">
        <v>6121.2592304702684</v>
      </c>
      <c r="AH27" s="4">
        <v>4592</v>
      </c>
      <c r="AI27" s="151">
        <f t="shared" si="16"/>
        <v>18363.777691410804</v>
      </c>
      <c r="AJ27" s="117">
        <f t="shared" si="17"/>
        <v>13776</v>
      </c>
      <c r="AK27" s="151">
        <f t="shared" si="18"/>
        <v>18363.777691410804</v>
      </c>
      <c r="AL27" s="117">
        <f t="shared" si="19"/>
        <v>13776</v>
      </c>
      <c r="AM27" s="129">
        <f t="shared" si="15"/>
        <v>71924.795958025672</v>
      </c>
      <c r="AN27" s="117">
        <f t="shared" si="20"/>
        <v>55552</v>
      </c>
    </row>
    <row r="28" spans="1:40" ht="20.25" customHeight="1" x14ac:dyDescent="0.15">
      <c r="A28" s="23"/>
      <c r="B28" s="5" t="s">
        <v>23</v>
      </c>
      <c r="C28" s="34">
        <v>63983.099737660319</v>
      </c>
      <c r="D28" s="4">
        <v>60207</v>
      </c>
      <c r="E28" s="34">
        <v>63983.099737660319</v>
      </c>
      <c r="F28" s="4">
        <v>60207</v>
      </c>
      <c r="G28" s="34">
        <v>73123.542557326087</v>
      </c>
      <c r="H28" s="4">
        <v>60207</v>
      </c>
      <c r="I28" s="151"/>
      <c r="J28" s="117"/>
      <c r="K28" s="60">
        <v>73123.542557326087</v>
      </c>
      <c r="L28" s="4">
        <v>60207</v>
      </c>
      <c r="M28" s="34">
        <v>73123.542557326087</v>
      </c>
      <c r="N28" s="4">
        <v>60207</v>
      </c>
      <c r="O28" s="34">
        <v>73123.542557326087</v>
      </c>
      <c r="P28" s="4">
        <v>60207</v>
      </c>
      <c r="Q28" s="151"/>
      <c r="R28" s="117"/>
      <c r="S28" s="151"/>
      <c r="T28" s="117"/>
      <c r="U28" s="60">
        <v>73123.542557326087</v>
      </c>
      <c r="V28" s="4">
        <v>60207</v>
      </c>
      <c r="W28" s="34">
        <v>73123.542557326087</v>
      </c>
      <c r="X28" s="4">
        <v>63501</v>
      </c>
      <c r="Y28" s="34">
        <v>73123.542557326087</v>
      </c>
      <c r="Z28" s="4">
        <v>63501</v>
      </c>
      <c r="AA28" s="151"/>
      <c r="AB28" s="117"/>
      <c r="AC28" s="60">
        <v>73123.542557326087</v>
      </c>
      <c r="AD28" s="4">
        <v>63501</v>
      </c>
      <c r="AE28" s="34">
        <v>73123.542557326087</v>
      </c>
      <c r="AF28" s="4">
        <v>63501</v>
      </c>
      <c r="AG28" s="34">
        <v>73123.542557326087</v>
      </c>
      <c r="AH28" s="4">
        <v>63501</v>
      </c>
      <c r="AI28" s="151">
        <f t="shared" si="16"/>
        <v>219370.62767197826</v>
      </c>
      <c r="AJ28" s="117">
        <f t="shared" si="17"/>
        <v>190503</v>
      </c>
      <c r="AK28" s="151">
        <f t="shared" si="18"/>
        <v>219370.62767197826</v>
      </c>
      <c r="AL28" s="117">
        <f t="shared" si="19"/>
        <v>190503</v>
      </c>
      <c r="AM28" s="129">
        <f t="shared" si="15"/>
        <v>859201.62504858174</v>
      </c>
      <c r="AN28" s="117">
        <f t="shared" si="20"/>
        <v>738954</v>
      </c>
    </row>
    <row r="29" spans="1:40" ht="20.25" customHeight="1" x14ac:dyDescent="0.15">
      <c r="A29" s="23"/>
      <c r="B29" s="5" t="s">
        <v>24</v>
      </c>
      <c r="C29" s="34">
        <v>2201.9529731830548</v>
      </c>
      <c r="D29" s="4">
        <v>4112</v>
      </c>
      <c r="E29" s="34">
        <v>2201.9529731830548</v>
      </c>
      <c r="F29" s="4">
        <v>4276</v>
      </c>
      <c r="G29" s="34">
        <v>2516.5176836377768</v>
      </c>
      <c r="H29" s="4">
        <v>4138</v>
      </c>
      <c r="I29" s="151"/>
      <c r="J29" s="117"/>
      <c r="K29" s="60">
        <v>2516.5176836377768</v>
      </c>
      <c r="L29" s="4">
        <v>4052</v>
      </c>
      <c r="M29" s="34">
        <v>2516.5176836377768</v>
      </c>
      <c r="N29" s="4">
        <v>4216</v>
      </c>
      <c r="O29" s="34">
        <v>2516.5176836377768</v>
      </c>
      <c r="P29" s="4">
        <v>4234</v>
      </c>
      <c r="Q29" s="151"/>
      <c r="R29" s="117"/>
      <c r="S29" s="151"/>
      <c r="T29" s="117"/>
      <c r="U29" s="60">
        <v>2516.5176836377768</v>
      </c>
      <c r="V29" s="4">
        <v>4186</v>
      </c>
      <c r="W29" s="34">
        <v>2516.5176836377768</v>
      </c>
      <c r="X29" s="4">
        <v>6810</v>
      </c>
      <c r="Y29" s="34">
        <v>2516.5176836377768</v>
      </c>
      <c r="Z29" s="4">
        <v>6864</v>
      </c>
      <c r="AA29" s="151"/>
      <c r="AB29" s="117"/>
      <c r="AC29" s="60">
        <v>2516.5176836377768</v>
      </c>
      <c r="AD29" s="4">
        <v>7004</v>
      </c>
      <c r="AE29" s="34">
        <v>2516.5176836377768</v>
      </c>
      <c r="AF29" s="4">
        <v>6918</v>
      </c>
      <c r="AG29" s="34">
        <v>2516.5176836377768</v>
      </c>
      <c r="AH29" s="4">
        <v>6762</v>
      </c>
      <c r="AI29" s="151">
        <f t="shared" si="16"/>
        <v>7549.5530509133305</v>
      </c>
      <c r="AJ29" s="117">
        <f t="shared" si="17"/>
        <v>20684</v>
      </c>
      <c r="AK29" s="151">
        <f t="shared" si="18"/>
        <v>7549.5530509133305</v>
      </c>
      <c r="AL29" s="117">
        <f t="shared" si="19"/>
        <v>20684</v>
      </c>
      <c r="AM29" s="129">
        <f t="shared" si="15"/>
        <v>29569.08278274387</v>
      </c>
      <c r="AN29" s="117">
        <f t="shared" si="20"/>
        <v>63572</v>
      </c>
    </row>
    <row r="30" spans="1:40" ht="20.25" customHeight="1" x14ac:dyDescent="0.15">
      <c r="A30" s="23"/>
      <c r="B30" s="5" t="s">
        <v>25</v>
      </c>
      <c r="C30" s="34">
        <v>2184.0081374823317</v>
      </c>
      <c r="D30" s="4">
        <v>2055.87</v>
      </c>
      <c r="E30" s="34">
        <v>2184.0081374823317</v>
      </c>
      <c r="F30" s="4">
        <v>2138.52</v>
      </c>
      <c r="G30" s="34">
        <v>2496.0092999798076</v>
      </c>
      <c r="H30" s="4">
        <v>2068.9229999999998</v>
      </c>
      <c r="I30" s="151"/>
      <c r="J30" s="117"/>
      <c r="K30" s="60">
        <v>2496.0092999798076</v>
      </c>
      <c r="L30" s="4">
        <v>2026.248</v>
      </c>
      <c r="M30" s="34">
        <v>2496.0092999798076</v>
      </c>
      <c r="N30" s="4">
        <v>2108.0700000000002</v>
      </c>
      <c r="O30" s="34">
        <v>2496.0092999798076</v>
      </c>
      <c r="P30" s="4">
        <v>2116.77</v>
      </c>
      <c r="Q30" s="151"/>
      <c r="R30" s="117"/>
      <c r="S30" s="151"/>
      <c r="T30" s="117"/>
      <c r="U30" s="60">
        <v>2496.0092999798076</v>
      </c>
      <c r="V30" s="4">
        <v>2092.8449999999998</v>
      </c>
      <c r="W30" s="34">
        <v>2496.0092999798076</v>
      </c>
      <c r="X30" s="4">
        <v>2043.096</v>
      </c>
      <c r="Y30" s="34">
        <v>2496.0092999798076</v>
      </c>
      <c r="Z30" s="4">
        <v>2059.134</v>
      </c>
      <c r="AA30" s="151"/>
      <c r="AB30" s="117"/>
      <c r="AC30" s="60">
        <v>2496.0092999798076</v>
      </c>
      <c r="AD30" s="4">
        <v>2101.614</v>
      </c>
      <c r="AE30" s="34">
        <v>2496.0092999798076</v>
      </c>
      <c r="AF30" s="4">
        <v>2075.2620000000002</v>
      </c>
      <c r="AG30" s="34">
        <v>2496.0092999798076</v>
      </c>
      <c r="AH30" s="4">
        <v>2028.9</v>
      </c>
      <c r="AI30" s="151">
        <f t="shared" si="16"/>
        <v>7488.0278999394232</v>
      </c>
      <c r="AJ30" s="117">
        <f t="shared" si="17"/>
        <v>6205.7759999999998</v>
      </c>
      <c r="AK30" s="151">
        <f t="shared" si="18"/>
        <v>7488.0278999394232</v>
      </c>
      <c r="AL30" s="117">
        <f t="shared" si="19"/>
        <v>6205.7759999999998</v>
      </c>
      <c r="AM30" s="129">
        <f t="shared" si="15"/>
        <v>29328.109274762737</v>
      </c>
      <c r="AN30" s="117">
        <f t="shared" si="20"/>
        <v>24915.252000000004</v>
      </c>
    </row>
    <row r="31" spans="1:40" ht="20.25" customHeight="1" thickBot="1" x14ac:dyDescent="0.2">
      <c r="A31" s="23"/>
      <c r="B31" s="6" t="s">
        <v>26</v>
      </c>
      <c r="C31" s="34">
        <v>35000</v>
      </c>
      <c r="D31" s="4">
        <v>32040</v>
      </c>
      <c r="E31" s="34">
        <v>35000</v>
      </c>
      <c r="F31" s="4">
        <v>32040</v>
      </c>
      <c r="G31" s="34">
        <v>35000</v>
      </c>
      <c r="H31" s="4">
        <v>32040</v>
      </c>
      <c r="I31" s="151"/>
      <c r="J31" s="117"/>
      <c r="K31" s="60">
        <v>35000</v>
      </c>
      <c r="L31" s="4">
        <v>32040</v>
      </c>
      <c r="M31" s="34">
        <v>35000</v>
      </c>
      <c r="N31" s="4">
        <v>32040</v>
      </c>
      <c r="O31" s="34">
        <v>35000</v>
      </c>
      <c r="P31" s="4">
        <v>32040</v>
      </c>
      <c r="Q31" s="151"/>
      <c r="R31" s="117"/>
      <c r="S31" s="151"/>
      <c r="T31" s="117"/>
      <c r="U31" s="60">
        <v>35000</v>
      </c>
      <c r="V31" s="4">
        <v>32040</v>
      </c>
      <c r="W31" s="34">
        <v>35000</v>
      </c>
      <c r="X31" s="4">
        <v>32040</v>
      </c>
      <c r="Y31" s="34">
        <v>35000</v>
      </c>
      <c r="Z31" s="4">
        <v>32040</v>
      </c>
      <c r="AA31" s="151"/>
      <c r="AB31" s="117"/>
      <c r="AC31" s="60">
        <v>35000</v>
      </c>
      <c r="AD31" s="4">
        <v>32040</v>
      </c>
      <c r="AE31" s="34">
        <v>35000</v>
      </c>
      <c r="AF31" s="4">
        <v>32040</v>
      </c>
      <c r="AG31" s="34">
        <v>35000</v>
      </c>
      <c r="AH31" s="4">
        <v>32040</v>
      </c>
      <c r="AI31" s="151">
        <f t="shared" si="16"/>
        <v>105000</v>
      </c>
      <c r="AJ31" s="117">
        <f>AD31+AF31+AH31</f>
        <v>96120</v>
      </c>
      <c r="AK31" s="151">
        <f t="shared" si="18"/>
        <v>105000</v>
      </c>
      <c r="AL31" s="117">
        <f t="shared" si="19"/>
        <v>96120</v>
      </c>
      <c r="AM31" s="129">
        <f t="shared" si="15"/>
        <v>420000</v>
      </c>
      <c r="AN31" s="117">
        <f t="shared" si="20"/>
        <v>384480</v>
      </c>
    </row>
    <row r="32" spans="1:40" ht="20.25" customHeight="1" thickTop="1" thickBot="1" x14ac:dyDescent="0.2">
      <c r="A32" s="24"/>
      <c r="B32" s="12" t="s">
        <v>27</v>
      </c>
      <c r="C32" s="39">
        <f>SUM(C23:C31)</f>
        <v>844702.43871462962</v>
      </c>
      <c r="D32" s="13">
        <f>SUM(D23:D31)</f>
        <v>790558.87</v>
      </c>
      <c r="E32" s="39">
        <f t="shared" ref="E32:AM32" si="21">SUM(E23:E31)</f>
        <v>844702.43871462962</v>
      </c>
      <c r="F32" s="13">
        <f t="shared" si="21"/>
        <v>817677.52</v>
      </c>
      <c r="G32" s="39">
        <f t="shared" si="21"/>
        <v>960374.21567386249</v>
      </c>
      <c r="H32" s="13">
        <f t="shared" si="21"/>
        <v>794270.92299999995</v>
      </c>
      <c r="I32" s="39">
        <f t="shared" si="21"/>
        <v>0</v>
      </c>
      <c r="J32" s="13">
        <f>SUM(J23:J31)</f>
        <v>0</v>
      </c>
      <c r="K32" s="65">
        <f t="shared" si="21"/>
        <v>960374.21567386249</v>
      </c>
      <c r="L32" s="13">
        <f t="shared" si="21"/>
        <v>779917.24800000002</v>
      </c>
      <c r="M32" s="39">
        <f t="shared" si="21"/>
        <v>960374.21567386249</v>
      </c>
      <c r="N32" s="13">
        <f t="shared" si="21"/>
        <v>807437.07</v>
      </c>
      <c r="O32" s="39">
        <f t="shared" si="21"/>
        <v>960374.21567386249</v>
      </c>
      <c r="P32" s="13">
        <f t="shared" si="21"/>
        <v>810363.77</v>
      </c>
      <c r="Q32" s="39">
        <f>SUM(Q23:Q31)</f>
        <v>0</v>
      </c>
      <c r="R32" s="13">
        <f>SUM(R23:R31)</f>
        <v>0</v>
      </c>
      <c r="S32" s="39">
        <f t="shared" si="21"/>
        <v>0</v>
      </c>
      <c r="T32" s="13">
        <f t="shared" si="21"/>
        <v>0</v>
      </c>
      <c r="U32" s="65">
        <f t="shared" si="21"/>
        <v>960374.21567386249</v>
      </c>
      <c r="V32" s="13">
        <f t="shared" si="21"/>
        <v>802316.84499999997</v>
      </c>
      <c r="W32" s="39">
        <f t="shared" si="21"/>
        <v>960374.21567386249</v>
      </c>
      <c r="X32" s="13">
        <f t="shared" si="21"/>
        <v>793441.09600000002</v>
      </c>
      <c r="Y32" s="39">
        <f t="shared" si="21"/>
        <v>960374.21567386249</v>
      </c>
      <c r="Z32" s="13">
        <f t="shared" si="21"/>
        <v>798857.13399999996</v>
      </c>
      <c r="AA32" s="39">
        <f>SUM(AA23:AA31)</f>
        <v>0</v>
      </c>
      <c r="AB32" s="13">
        <f>SUM(AB23:AB31)</f>
        <v>0</v>
      </c>
      <c r="AC32" s="65">
        <f t="shared" si="21"/>
        <v>960374.21567386249</v>
      </c>
      <c r="AD32" s="13">
        <f t="shared" si="21"/>
        <v>813199.61399999994</v>
      </c>
      <c r="AE32" s="39">
        <f t="shared" si="21"/>
        <v>960374.21567386249</v>
      </c>
      <c r="AF32" s="13">
        <f>SUM(AF23:AF31)</f>
        <v>1704303.2620000001</v>
      </c>
      <c r="AG32" s="39">
        <f t="shared" si="21"/>
        <v>960374.21567386249</v>
      </c>
      <c r="AH32" s="13">
        <f t="shared" si="21"/>
        <v>788646.9</v>
      </c>
      <c r="AI32" s="39">
        <f>SUM(AI23:AI31)</f>
        <v>2881122.6470215879</v>
      </c>
      <c r="AJ32" s="13">
        <f>SUM(AJ23:AJ31)</f>
        <v>3306149.7760000001</v>
      </c>
      <c r="AK32" s="39">
        <f>SUM(AK23:AK31)</f>
        <v>2881122.6470215879</v>
      </c>
      <c r="AL32" s="13">
        <f>SUM(AL23:AL31)</f>
        <v>3306149.7760000001</v>
      </c>
      <c r="AM32" s="65">
        <f t="shared" si="21"/>
        <v>11293147.034167884</v>
      </c>
      <c r="AN32" s="13">
        <f t="shared" si="20"/>
        <v>10500990.252</v>
      </c>
    </row>
    <row r="33" spans="1:40" ht="20.25" customHeight="1" x14ac:dyDescent="0.15">
      <c r="A33" s="25" t="s">
        <v>34</v>
      </c>
      <c r="B33" s="3" t="s">
        <v>35</v>
      </c>
      <c r="C33" s="34">
        <v>0</v>
      </c>
      <c r="D33" s="4"/>
      <c r="E33" s="34">
        <v>0</v>
      </c>
      <c r="F33" s="4"/>
      <c r="G33" s="34">
        <v>0</v>
      </c>
      <c r="H33" s="4"/>
      <c r="I33" s="151">
        <f>C33+E33+G33</f>
        <v>0</v>
      </c>
      <c r="J33" s="117">
        <f>D33+F33+H33</f>
        <v>0</v>
      </c>
      <c r="K33" s="60">
        <v>0</v>
      </c>
      <c r="L33" s="4"/>
      <c r="M33" s="34">
        <v>0</v>
      </c>
      <c r="N33" s="4"/>
      <c r="O33" s="34">
        <v>0</v>
      </c>
      <c r="P33" s="4"/>
      <c r="Q33" s="151">
        <f>K33+M33+O33</f>
        <v>0</v>
      </c>
      <c r="R33" s="117">
        <f>L33+N33+P33</f>
        <v>0</v>
      </c>
      <c r="S33" s="151">
        <f t="shared" ref="S33:T57" si="22">I33+Q33</f>
        <v>0</v>
      </c>
      <c r="T33" s="117">
        <f t="shared" si="22"/>
        <v>0</v>
      </c>
      <c r="U33" s="60">
        <v>0</v>
      </c>
      <c r="V33" s="4"/>
      <c r="W33" s="34">
        <v>0</v>
      </c>
      <c r="X33" s="4"/>
      <c r="Y33" s="34">
        <v>0</v>
      </c>
      <c r="Z33" s="4"/>
      <c r="AA33" s="151">
        <f t="shared" ref="AA33:AA54" si="23">U33+W33+Y33</f>
        <v>0</v>
      </c>
      <c r="AB33" s="117">
        <f t="shared" ref="AB33:AB54" si="24">V33+X33+Z33</f>
        <v>0</v>
      </c>
      <c r="AC33" s="60">
        <v>0</v>
      </c>
      <c r="AD33" s="4"/>
      <c r="AE33" s="34">
        <v>0</v>
      </c>
      <c r="AF33" s="4"/>
      <c r="AG33" s="34">
        <v>0</v>
      </c>
      <c r="AH33" s="4"/>
      <c r="AI33" s="151">
        <f>AC33+AE33+AG33</f>
        <v>0</v>
      </c>
      <c r="AJ33" s="117">
        <f>AD33+AF33+AH33</f>
        <v>0</v>
      </c>
      <c r="AK33" s="151">
        <f t="shared" ref="AK33:AK57" si="25">AA33+AI33</f>
        <v>0</v>
      </c>
      <c r="AL33" s="117">
        <f t="shared" ref="AL33:AL57" si="26">AB33+AJ33</f>
        <v>0</v>
      </c>
      <c r="AM33" s="129">
        <f t="shared" ref="AM33:AM57" si="27">SUM(C33,E33,G33,K33,M33,O33,U33,W33,Y33,AC33,AE33,AG33)</f>
        <v>0</v>
      </c>
      <c r="AN33" s="117">
        <f t="shared" si="20"/>
        <v>0</v>
      </c>
    </row>
    <row r="34" spans="1:40" ht="20.25" customHeight="1" x14ac:dyDescent="0.15">
      <c r="A34" s="23"/>
      <c r="B34" s="5" t="s">
        <v>36</v>
      </c>
      <c r="C34" s="34">
        <v>1000</v>
      </c>
      <c r="D34" s="4"/>
      <c r="E34" s="34">
        <v>1000</v>
      </c>
      <c r="F34" s="4"/>
      <c r="G34" s="34">
        <v>1000</v>
      </c>
      <c r="H34" s="4"/>
      <c r="I34" s="151">
        <f t="shared" ref="I34:J57" si="28">C34+E34+G34</f>
        <v>3000</v>
      </c>
      <c r="J34" s="117">
        <f t="shared" si="28"/>
        <v>0</v>
      </c>
      <c r="K34" s="60">
        <v>1000</v>
      </c>
      <c r="L34" s="4"/>
      <c r="M34" s="34">
        <v>1000</v>
      </c>
      <c r="N34" s="4">
        <v>3315</v>
      </c>
      <c r="O34" s="34">
        <v>1000</v>
      </c>
      <c r="P34" s="4">
        <v>400</v>
      </c>
      <c r="Q34" s="151">
        <f t="shared" ref="Q34:Q57" si="29">K34+M34+O34</f>
        <v>3000</v>
      </c>
      <c r="R34" s="117">
        <f t="shared" ref="R34:R57" si="30">L34+N34+P34</f>
        <v>3715</v>
      </c>
      <c r="S34" s="151">
        <f t="shared" si="22"/>
        <v>6000</v>
      </c>
      <c r="T34" s="117">
        <f t="shared" si="22"/>
        <v>3715</v>
      </c>
      <c r="U34" s="60">
        <v>1000</v>
      </c>
      <c r="V34" s="4"/>
      <c r="W34" s="34">
        <v>1000</v>
      </c>
      <c r="X34" s="4"/>
      <c r="Y34" s="34">
        <v>1000</v>
      </c>
      <c r="Z34" s="4"/>
      <c r="AA34" s="151">
        <f t="shared" si="23"/>
        <v>3000</v>
      </c>
      <c r="AB34" s="117">
        <f t="shared" si="24"/>
        <v>0</v>
      </c>
      <c r="AC34" s="60">
        <v>1000</v>
      </c>
      <c r="AD34" s="4"/>
      <c r="AE34" s="34">
        <v>1000</v>
      </c>
      <c r="AF34" s="4"/>
      <c r="AG34" s="34">
        <v>1000</v>
      </c>
      <c r="AH34" s="4">
        <v>11791</v>
      </c>
      <c r="AI34" s="151">
        <f t="shared" ref="AI34:AI57" si="31">AC34+AE34+AG34</f>
        <v>3000</v>
      </c>
      <c r="AJ34" s="117">
        <f t="shared" ref="AJ34:AJ57" si="32">AD34+AF34+AH34</f>
        <v>11791</v>
      </c>
      <c r="AK34" s="151">
        <f t="shared" si="25"/>
        <v>6000</v>
      </c>
      <c r="AL34" s="117">
        <f t="shared" si="26"/>
        <v>11791</v>
      </c>
      <c r="AM34" s="129">
        <f t="shared" si="27"/>
        <v>12000</v>
      </c>
      <c r="AN34" s="117">
        <f t="shared" si="20"/>
        <v>15506</v>
      </c>
    </row>
    <row r="35" spans="1:40" ht="20.25" customHeight="1" x14ac:dyDescent="0.15">
      <c r="A35" s="23"/>
      <c r="B35" s="5" t="s">
        <v>37</v>
      </c>
      <c r="C35" s="34">
        <v>65000</v>
      </c>
      <c r="D35" s="4">
        <v>75462</v>
      </c>
      <c r="E35" s="34">
        <v>65000</v>
      </c>
      <c r="F35" s="4">
        <v>75462</v>
      </c>
      <c r="G35" s="34">
        <v>65000</v>
      </c>
      <c r="H35" s="4">
        <v>75462</v>
      </c>
      <c r="I35" s="151">
        <f>C35+E35+G35</f>
        <v>195000</v>
      </c>
      <c r="J35" s="117">
        <f t="shared" si="28"/>
        <v>226386</v>
      </c>
      <c r="K35" s="60">
        <v>65000</v>
      </c>
      <c r="L35" s="4">
        <v>75462</v>
      </c>
      <c r="M35" s="34">
        <v>65000</v>
      </c>
      <c r="N35" s="4">
        <v>75462</v>
      </c>
      <c r="O35" s="34">
        <v>65000</v>
      </c>
      <c r="P35" s="4">
        <v>75462</v>
      </c>
      <c r="Q35" s="151">
        <f t="shared" si="29"/>
        <v>195000</v>
      </c>
      <c r="R35" s="117">
        <f t="shared" si="30"/>
        <v>226386</v>
      </c>
      <c r="S35" s="151">
        <f t="shared" si="22"/>
        <v>390000</v>
      </c>
      <c r="T35" s="117">
        <f t="shared" si="22"/>
        <v>452772</v>
      </c>
      <c r="U35" s="60">
        <v>65000</v>
      </c>
      <c r="V35" s="4">
        <v>75462</v>
      </c>
      <c r="W35" s="34">
        <v>65000</v>
      </c>
      <c r="X35" s="4">
        <v>75462</v>
      </c>
      <c r="Y35" s="34">
        <v>65000</v>
      </c>
      <c r="Z35" s="4">
        <v>75462</v>
      </c>
      <c r="AA35" s="151">
        <f t="shared" si="23"/>
        <v>195000</v>
      </c>
      <c r="AB35" s="117">
        <f t="shared" si="24"/>
        <v>226386</v>
      </c>
      <c r="AC35" s="60">
        <v>65000</v>
      </c>
      <c r="AD35" s="4">
        <v>75462</v>
      </c>
      <c r="AE35" s="34">
        <v>65000</v>
      </c>
      <c r="AF35" s="4">
        <v>75462</v>
      </c>
      <c r="AG35" s="34">
        <v>65000</v>
      </c>
      <c r="AH35" s="4">
        <v>75462</v>
      </c>
      <c r="AI35" s="151">
        <f t="shared" si="31"/>
        <v>195000</v>
      </c>
      <c r="AJ35" s="117">
        <f t="shared" si="32"/>
        <v>226386</v>
      </c>
      <c r="AK35" s="151">
        <f t="shared" si="25"/>
        <v>390000</v>
      </c>
      <c r="AL35" s="117">
        <f t="shared" si="26"/>
        <v>452772</v>
      </c>
      <c r="AM35" s="129">
        <f t="shared" si="27"/>
        <v>780000</v>
      </c>
      <c r="AN35" s="117">
        <f t="shared" si="20"/>
        <v>905544</v>
      </c>
    </row>
    <row r="36" spans="1:40" ht="20.25" customHeight="1" x14ac:dyDescent="0.15">
      <c r="A36" s="23"/>
      <c r="B36" s="5" t="s">
        <v>38</v>
      </c>
      <c r="C36" s="34">
        <v>7500</v>
      </c>
      <c r="D36" s="4">
        <v>13228</v>
      </c>
      <c r="E36" s="34">
        <v>7500</v>
      </c>
      <c r="F36" s="4">
        <v>13228</v>
      </c>
      <c r="G36" s="34">
        <v>7500</v>
      </c>
      <c r="H36" s="4">
        <v>13228</v>
      </c>
      <c r="I36" s="151">
        <f t="shared" si="28"/>
        <v>22500</v>
      </c>
      <c r="J36" s="117">
        <f t="shared" si="28"/>
        <v>39684</v>
      </c>
      <c r="K36" s="60">
        <v>7500</v>
      </c>
      <c r="L36" s="4">
        <v>13228</v>
      </c>
      <c r="M36" s="34">
        <v>7500</v>
      </c>
      <c r="N36" s="4">
        <v>13228</v>
      </c>
      <c r="O36" s="34">
        <v>7500</v>
      </c>
      <c r="P36" s="4">
        <v>13228</v>
      </c>
      <c r="Q36" s="151">
        <f t="shared" si="29"/>
        <v>22500</v>
      </c>
      <c r="R36" s="117">
        <f t="shared" si="30"/>
        <v>39684</v>
      </c>
      <c r="S36" s="151">
        <f t="shared" si="22"/>
        <v>45000</v>
      </c>
      <c r="T36" s="117">
        <f t="shared" si="22"/>
        <v>79368</v>
      </c>
      <c r="U36" s="60">
        <v>7500</v>
      </c>
      <c r="V36" s="4">
        <v>13228</v>
      </c>
      <c r="W36" s="34">
        <v>7500</v>
      </c>
      <c r="X36" s="4">
        <v>13228</v>
      </c>
      <c r="Y36" s="34">
        <v>7500</v>
      </c>
      <c r="Z36" s="4">
        <v>13228</v>
      </c>
      <c r="AA36" s="151">
        <f t="shared" si="23"/>
        <v>22500</v>
      </c>
      <c r="AB36" s="117">
        <f t="shared" si="24"/>
        <v>39684</v>
      </c>
      <c r="AC36" s="60">
        <v>7500</v>
      </c>
      <c r="AD36" s="4">
        <v>13228</v>
      </c>
      <c r="AE36" s="34">
        <v>7500</v>
      </c>
      <c r="AF36" s="4">
        <v>13228</v>
      </c>
      <c r="AG36" s="34">
        <v>7500</v>
      </c>
      <c r="AH36" s="4">
        <v>13228</v>
      </c>
      <c r="AI36" s="151">
        <f t="shared" si="31"/>
        <v>22500</v>
      </c>
      <c r="AJ36" s="117">
        <f t="shared" si="32"/>
        <v>39684</v>
      </c>
      <c r="AK36" s="151">
        <f t="shared" si="25"/>
        <v>45000</v>
      </c>
      <c r="AL36" s="117">
        <f t="shared" si="26"/>
        <v>79368</v>
      </c>
      <c r="AM36" s="129">
        <f t="shared" si="27"/>
        <v>90000</v>
      </c>
      <c r="AN36" s="117">
        <f t="shared" si="20"/>
        <v>158736</v>
      </c>
    </row>
    <row r="37" spans="1:40" ht="20.25" hidden="1" customHeight="1" x14ac:dyDescent="0.15">
      <c r="A37" s="23"/>
      <c r="B37" s="5" t="s">
        <v>39</v>
      </c>
      <c r="C37" s="34">
        <v>0</v>
      </c>
      <c r="D37" s="4"/>
      <c r="E37" s="34">
        <v>0</v>
      </c>
      <c r="F37" s="4"/>
      <c r="G37" s="34">
        <v>0</v>
      </c>
      <c r="H37" s="4"/>
      <c r="I37" s="151">
        <f t="shared" si="28"/>
        <v>0</v>
      </c>
      <c r="J37" s="117">
        <f t="shared" si="28"/>
        <v>0</v>
      </c>
      <c r="K37" s="60">
        <v>0</v>
      </c>
      <c r="L37" s="4"/>
      <c r="M37" s="34">
        <v>0</v>
      </c>
      <c r="N37" s="4"/>
      <c r="O37" s="34">
        <v>0</v>
      </c>
      <c r="P37" s="4"/>
      <c r="Q37" s="151">
        <f t="shared" si="29"/>
        <v>0</v>
      </c>
      <c r="R37" s="117">
        <f t="shared" si="30"/>
        <v>0</v>
      </c>
      <c r="S37" s="151">
        <f t="shared" si="22"/>
        <v>0</v>
      </c>
      <c r="T37" s="117">
        <f t="shared" si="22"/>
        <v>0</v>
      </c>
      <c r="U37" s="60">
        <v>0</v>
      </c>
      <c r="V37" s="4"/>
      <c r="W37" s="34">
        <v>0</v>
      </c>
      <c r="X37" s="4"/>
      <c r="Y37" s="34">
        <v>0</v>
      </c>
      <c r="Z37" s="4"/>
      <c r="AA37" s="151">
        <f t="shared" si="23"/>
        <v>0</v>
      </c>
      <c r="AB37" s="117">
        <f t="shared" si="24"/>
        <v>0</v>
      </c>
      <c r="AC37" s="60">
        <v>0</v>
      </c>
      <c r="AD37" s="4"/>
      <c r="AE37" s="34">
        <v>0</v>
      </c>
      <c r="AF37" s="4"/>
      <c r="AG37" s="34">
        <v>0</v>
      </c>
      <c r="AH37" s="4"/>
      <c r="AI37" s="151">
        <f t="shared" si="31"/>
        <v>0</v>
      </c>
      <c r="AJ37" s="117">
        <f t="shared" si="32"/>
        <v>0</v>
      </c>
      <c r="AK37" s="151">
        <f t="shared" si="25"/>
        <v>0</v>
      </c>
      <c r="AL37" s="117">
        <f t="shared" si="26"/>
        <v>0</v>
      </c>
      <c r="AM37" s="129">
        <f t="shared" si="27"/>
        <v>0</v>
      </c>
      <c r="AN37" s="117">
        <f t="shared" si="20"/>
        <v>0</v>
      </c>
    </row>
    <row r="38" spans="1:40" ht="20.25" hidden="1" customHeight="1" x14ac:dyDescent="0.15">
      <c r="A38" s="23"/>
      <c r="B38" s="5" t="s">
        <v>40</v>
      </c>
      <c r="C38" s="34">
        <v>0</v>
      </c>
      <c r="D38" s="4"/>
      <c r="E38" s="34">
        <v>0</v>
      </c>
      <c r="F38" s="4"/>
      <c r="G38" s="34">
        <v>0</v>
      </c>
      <c r="H38" s="4"/>
      <c r="I38" s="151">
        <f t="shared" si="28"/>
        <v>0</v>
      </c>
      <c r="J38" s="117">
        <f t="shared" si="28"/>
        <v>0</v>
      </c>
      <c r="K38" s="60">
        <v>0</v>
      </c>
      <c r="L38" s="4"/>
      <c r="M38" s="34">
        <v>0</v>
      </c>
      <c r="N38" s="4"/>
      <c r="O38" s="34">
        <v>0</v>
      </c>
      <c r="P38" s="4"/>
      <c r="Q38" s="151">
        <f t="shared" si="29"/>
        <v>0</v>
      </c>
      <c r="R38" s="117">
        <f t="shared" si="30"/>
        <v>0</v>
      </c>
      <c r="S38" s="151">
        <f t="shared" si="22"/>
        <v>0</v>
      </c>
      <c r="T38" s="117">
        <f t="shared" si="22"/>
        <v>0</v>
      </c>
      <c r="U38" s="60">
        <v>0</v>
      </c>
      <c r="V38" s="4"/>
      <c r="W38" s="34">
        <v>0</v>
      </c>
      <c r="X38" s="4"/>
      <c r="Y38" s="34">
        <v>0</v>
      </c>
      <c r="Z38" s="4"/>
      <c r="AA38" s="151">
        <f t="shared" si="23"/>
        <v>0</v>
      </c>
      <c r="AB38" s="117">
        <f t="shared" si="24"/>
        <v>0</v>
      </c>
      <c r="AC38" s="60">
        <v>0</v>
      </c>
      <c r="AD38" s="4"/>
      <c r="AE38" s="34">
        <v>0</v>
      </c>
      <c r="AF38" s="4"/>
      <c r="AG38" s="34">
        <v>0</v>
      </c>
      <c r="AH38" s="4"/>
      <c r="AI38" s="151">
        <f t="shared" si="31"/>
        <v>0</v>
      </c>
      <c r="AJ38" s="117">
        <f t="shared" si="32"/>
        <v>0</v>
      </c>
      <c r="AK38" s="151">
        <f t="shared" si="25"/>
        <v>0</v>
      </c>
      <c r="AL38" s="117">
        <f t="shared" si="26"/>
        <v>0</v>
      </c>
      <c r="AM38" s="129">
        <f t="shared" si="27"/>
        <v>0</v>
      </c>
      <c r="AN38" s="117">
        <f t="shared" si="20"/>
        <v>0</v>
      </c>
    </row>
    <row r="39" spans="1:40" ht="20.25" hidden="1" customHeight="1" x14ac:dyDescent="0.15">
      <c r="A39" s="23"/>
      <c r="B39" s="5" t="s">
        <v>41</v>
      </c>
      <c r="C39" s="34">
        <v>0</v>
      </c>
      <c r="D39" s="4"/>
      <c r="E39" s="34">
        <v>0</v>
      </c>
      <c r="F39" s="4"/>
      <c r="G39" s="34">
        <v>0</v>
      </c>
      <c r="H39" s="4"/>
      <c r="I39" s="151">
        <f t="shared" si="28"/>
        <v>0</v>
      </c>
      <c r="J39" s="117">
        <f t="shared" si="28"/>
        <v>0</v>
      </c>
      <c r="K39" s="60">
        <v>0</v>
      </c>
      <c r="L39" s="4"/>
      <c r="M39" s="34">
        <v>0</v>
      </c>
      <c r="N39" s="4"/>
      <c r="O39" s="34">
        <v>0</v>
      </c>
      <c r="P39" s="4"/>
      <c r="Q39" s="151">
        <f t="shared" si="29"/>
        <v>0</v>
      </c>
      <c r="R39" s="117">
        <f t="shared" si="30"/>
        <v>0</v>
      </c>
      <c r="S39" s="151">
        <f t="shared" si="22"/>
        <v>0</v>
      </c>
      <c r="T39" s="117">
        <f t="shared" si="22"/>
        <v>0</v>
      </c>
      <c r="U39" s="60">
        <v>0</v>
      </c>
      <c r="V39" s="4"/>
      <c r="W39" s="34">
        <v>0</v>
      </c>
      <c r="X39" s="4"/>
      <c r="Y39" s="34">
        <v>0</v>
      </c>
      <c r="Z39" s="4"/>
      <c r="AA39" s="151">
        <f t="shared" si="23"/>
        <v>0</v>
      </c>
      <c r="AB39" s="117">
        <f t="shared" si="24"/>
        <v>0</v>
      </c>
      <c r="AC39" s="60">
        <v>0</v>
      </c>
      <c r="AD39" s="4"/>
      <c r="AE39" s="34">
        <v>0</v>
      </c>
      <c r="AF39" s="4"/>
      <c r="AG39" s="34">
        <v>0</v>
      </c>
      <c r="AH39" s="4"/>
      <c r="AI39" s="151">
        <f t="shared" si="31"/>
        <v>0</v>
      </c>
      <c r="AJ39" s="117">
        <f t="shared" si="32"/>
        <v>0</v>
      </c>
      <c r="AK39" s="151">
        <f t="shared" si="25"/>
        <v>0</v>
      </c>
      <c r="AL39" s="117">
        <f t="shared" si="26"/>
        <v>0</v>
      </c>
      <c r="AM39" s="129">
        <f t="shared" si="27"/>
        <v>0</v>
      </c>
      <c r="AN39" s="117">
        <f t="shared" si="20"/>
        <v>0</v>
      </c>
    </row>
    <row r="40" spans="1:40" ht="20.25" customHeight="1" x14ac:dyDescent="0.15">
      <c r="A40" s="23"/>
      <c r="B40" s="5" t="s">
        <v>42</v>
      </c>
      <c r="C40" s="34">
        <v>0</v>
      </c>
      <c r="D40" s="4"/>
      <c r="E40" s="34">
        <v>0</v>
      </c>
      <c r="F40" s="4"/>
      <c r="G40" s="34">
        <v>0</v>
      </c>
      <c r="H40" s="4"/>
      <c r="I40" s="151">
        <f t="shared" si="28"/>
        <v>0</v>
      </c>
      <c r="J40" s="117">
        <f t="shared" si="28"/>
        <v>0</v>
      </c>
      <c r="K40" s="60">
        <v>0</v>
      </c>
      <c r="L40" s="4"/>
      <c r="M40" s="34">
        <v>0</v>
      </c>
      <c r="N40" s="4"/>
      <c r="O40" s="34">
        <v>0</v>
      </c>
      <c r="P40" s="4"/>
      <c r="Q40" s="151">
        <f t="shared" si="29"/>
        <v>0</v>
      </c>
      <c r="R40" s="117">
        <f t="shared" si="30"/>
        <v>0</v>
      </c>
      <c r="S40" s="151">
        <f t="shared" si="22"/>
        <v>0</v>
      </c>
      <c r="T40" s="117">
        <f t="shared" si="22"/>
        <v>0</v>
      </c>
      <c r="U40" s="60">
        <v>0</v>
      </c>
      <c r="V40" s="4"/>
      <c r="W40" s="34">
        <v>0</v>
      </c>
      <c r="X40" s="4"/>
      <c r="Y40" s="34">
        <v>0</v>
      </c>
      <c r="Z40" s="4">
        <v>12060</v>
      </c>
      <c r="AA40" s="151">
        <f t="shared" si="23"/>
        <v>0</v>
      </c>
      <c r="AB40" s="117">
        <f t="shared" si="24"/>
        <v>12060</v>
      </c>
      <c r="AC40" s="60">
        <v>0</v>
      </c>
      <c r="AD40" s="4"/>
      <c r="AE40" s="34">
        <v>0</v>
      </c>
      <c r="AF40" s="4"/>
      <c r="AG40" s="34">
        <v>0</v>
      </c>
      <c r="AH40" s="4"/>
      <c r="AI40" s="151">
        <f t="shared" si="31"/>
        <v>0</v>
      </c>
      <c r="AJ40" s="117">
        <f t="shared" si="32"/>
        <v>0</v>
      </c>
      <c r="AK40" s="151">
        <f t="shared" si="25"/>
        <v>0</v>
      </c>
      <c r="AL40" s="117">
        <f t="shared" si="26"/>
        <v>12060</v>
      </c>
      <c r="AM40" s="129">
        <f t="shared" si="27"/>
        <v>0</v>
      </c>
      <c r="AN40" s="117">
        <f t="shared" si="20"/>
        <v>12060</v>
      </c>
    </row>
    <row r="41" spans="1:40" ht="20.25" customHeight="1" x14ac:dyDescent="0.15">
      <c r="A41" s="23"/>
      <c r="B41" s="5" t="s">
        <v>43</v>
      </c>
      <c r="C41" s="34">
        <v>3000</v>
      </c>
      <c r="D41" s="4">
        <v>2210</v>
      </c>
      <c r="E41" s="34">
        <v>3000</v>
      </c>
      <c r="F41" s="4">
        <v>1810</v>
      </c>
      <c r="G41" s="34">
        <v>3000</v>
      </c>
      <c r="H41" s="4">
        <v>2537</v>
      </c>
      <c r="I41" s="151">
        <f t="shared" si="28"/>
        <v>9000</v>
      </c>
      <c r="J41" s="117">
        <f t="shared" si="28"/>
        <v>6557</v>
      </c>
      <c r="K41" s="60">
        <v>3000</v>
      </c>
      <c r="L41" s="4"/>
      <c r="M41" s="34">
        <v>3000</v>
      </c>
      <c r="N41" s="4">
        <v>1671</v>
      </c>
      <c r="O41" s="34">
        <v>3000</v>
      </c>
      <c r="P41" s="4">
        <v>843</v>
      </c>
      <c r="Q41" s="151">
        <f t="shared" si="29"/>
        <v>9000</v>
      </c>
      <c r="R41" s="117">
        <f t="shared" si="30"/>
        <v>2514</v>
      </c>
      <c r="S41" s="151">
        <f t="shared" si="22"/>
        <v>18000</v>
      </c>
      <c r="T41" s="117">
        <f t="shared" si="22"/>
        <v>9071</v>
      </c>
      <c r="U41" s="60">
        <v>3000</v>
      </c>
      <c r="V41" s="4">
        <v>2246</v>
      </c>
      <c r="W41" s="34">
        <v>3000</v>
      </c>
      <c r="X41" s="4">
        <v>2911</v>
      </c>
      <c r="Y41" s="34">
        <v>3000</v>
      </c>
      <c r="Z41" s="4">
        <v>1660</v>
      </c>
      <c r="AA41" s="151">
        <f t="shared" si="23"/>
        <v>9000</v>
      </c>
      <c r="AB41" s="117">
        <f t="shared" si="24"/>
        <v>6817</v>
      </c>
      <c r="AC41" s="60">
        <v>3000</v>
      </c>
      <c r="AD41" s="4"/>
      <c r="AE41" s="34">
        <v>3000</v>
      </c>
      <c r="AF41" s="4">
        <v>11473</v>
      </c>
      <c r="AG41" s="34">
        <v>3000</v>
      </c>
      <c r="AH41" s="4">
        <v>755</v>
      </c>
      <c r="AI41" s="151">
        <f t="shared" si="31"/>
        <v>9000</v>
      </c>
      <c r="AJ41" s="117">
        <f t="shared" si="32"/>
        <v>12228</v>
      </c>
      <c r="AK41" s="151">
        <f t="shared" si="25"/>
        <v>18000</v>
      </c>
      <c r="AL41" s="117">
        <f t="shared" si="26"/>
        <v>19045</v>
      </c>
      <c r="AM41" s="129">
        <f t="shared" si="27"/>
        <v>36000</v>
      </c>
      <c r="AN41" s="117">
        <f t="shared" si="20"/>
        <v>28116</v>
      </c>
    </row>
    <row r="42" spans="1:40" ht="20.25" customHeight="1" x14ac:dyDescent="0.15">
      <c r="A42" s="23"/>
      <c r="B42" s="5" t="s">
        <v>44</v>
      </c>
      <c r="C42" s="34">
        <v>0</v>
      </c>
      <c r="D42" s="4"/>
      <c r="E42" s="34">
        <v>0</v>
      </c>
      <c r="F42" s="4"/>
      <c r="G42" s="34">
        <v>0</v>
      </c>
      <c r="H42" s="4"/>
      <c r="I42" s="151">
        <f t="shared" si="28"/>
        <v>0</v>
      </c>
      <c r="J42" s="117">
        <f t="shared" si="28"/>
        <v>0</v>
      </c>
      <c r="K42" s="60">
        <v>0</v>
      </c>
      <c r="L42" s="4"/>
      <c r="M42" s="34">
        <v>0</v>
      </c>
      <c r="N42" s="4"/>
      <c r="O42" s="34">
        <v>0</v>
      </c>
      <c r="P42" s="4"/>
      <c r="Q42" s="151">
        <f t="shared" si="29"/>
        <v>0</v>
      </c>
      <c r="R42" s="117">
        <f t="shared" si="30"/>
        <v>0</v>
      </c>
      <c r="S42" s="151">
        <f t="shared" si="22"/>
        <v>0</v>
      </c>
      <c r="T42" s="117">
        <f t="shared" si="22"/>
        <v>0</v>
      </c>
      <c r="U42" s="60">
        <v>0</v>
      </c>
      <c r="V42" s="4"/>
      <c r="W42" s="34">
        <v>0</v>
      </c>
      <c r="X42" s="4"/>
      <c r="Y42" s="34">
        <v>0</v>
      </c>
      <c r="Z42" s="4"/>
      <c r="AA42" s="151">
        <f t="shared" si="23"/>
        <v>0</v>
      </c>
      <c r="AB42" s="117">
        <f t="shared" si="24"/>
        <v>0</v>
      </c>
      <c r="AC42" s="60">
        <v>0</v>
      </c>
      <c r="AD42" s="4"/>
      <c r="AE42" s="34">
        <v>0</v>
      </c>
      <c r="AF42" s="4"/>
      <c r="AG42" s="34">
        <v>0</v>
      </c>
      <c r="AH42" s="4"/>
      <c r="AI42" s="151">
        <f t="shared" si="31"/>
        <v>0</v>
      </c>
      <c r="AJ42" s="117">
        <f t="shared" si="32"/>
        <v>0</v>
      </c>
      <c r="AK42" s="151">
        <f t="shared" si="25"/>
        <v>0</v>
      </c>
      <c r="AL42" s="117">
        <f t="shared" si="26"/>
        <v>0</v>
      </c>
      <c r="AM42" s="129">
        <f t="shared" si="27"/>
        <v>0</v>
      </c>
      <c r="AN42" s="117">
        <f t="shared" si="20"/>
        <v>0</v>
      </c>
    </row>
    <row r="43" spans="1:40" ht="20.25" customHeight="1" x14ac:dyDescent="0.15">
      <c r="A43" s="23"/>
      <c r="B43" s="5" t="s">
        <v>45</v>
      </c>
      <c r="C43" s="34">
        <v>50000</v>
      </c>
      <c r="D43" s="4">
        <v>40749</v>
      </c>
      <c r="E43" s="34">
        <v>50000</v>
      </c>
      <c r="F43" s="4">
        <v>46174</v>
      </c>
      <c r="G43" s="34">
        <v>50000</v>
      </c>
      <c r="H43" s="4">
        <v>47402</v>
      </c>
      <c r="I43" s="151">
        <f t="shared" si="28"/>
        <v>150000</v>
      </c>
      <c r="J43" s="117">
        <f t="shared" si="28"/>
        <v>134325</v>
      </c>
      <c r="K43" s="60">
        <v>50000</v>
      </c>
      <c r="L43" s="4">
        <v>42420</v>
      </c>
      <c r="M43" s="34">
        <v>50000</v>
      </c>
      <c r="N43" s="4">
        <v>47229</v>
      </c>
      <c r="O43" s="34">
        <v>50000</v>
      </c>
      <c r="P43" s="4">
        <v>48638</v>
      </c>
      <c r="Q43" s="151">
        <f t="shared" si="29"/>
        <v>150000</v>
      </c>
      <c r="R43" s="117">
        <f t="shared" si="30"/>
        <v>138287</v>
      </c>
      <c r="S43" s="151">
        <f t="shared" si="22"/>
        <v>300000</v>
      </c>
      <c r="T43" s="117">
        <f t="shared" si="22"/>
        <v>272612</v>
      </c>
      <c r="U43" s="60">
        <v>50000</v>
      </c>
      <c r="V43" s="4">
        <v>56774</v>
      </c>
      <c r="W43" s="34">
        <v>50000</v>
      </c>
      <c r="X43" s="4">
        <v>46829</v>
      </c>
      <c r="Y43" s="34">
        <v>50000</v>
      </c>
      <c r="Z43" s="4">
        <v>46302</v>
      </c>
      <c r="AA43" s="151">
        <f t="shared" si="23"/>
        <v>150000</v>
      </c>
      <c r="AB43" s="117">
        <f t="shared" si="24"/>
        <v>149905</v>
      </c>
      <c r="AC43" s="60">
        <v>50000</v>
      </c>
      <c r="AD43" s="4">
        <v>50575</v>
      </c>
      <c r="AE43" s="34">
        <v>50000</v>
      </c>
      <c r="AF43" s="4">
        <v>34465</v>
      </c>
      <c r="AG43" s="34">
        <v>50000</v>
      </c>
      <c r="AH43" s="4">
        <v>46411</v>
      </c>
      <c r="AI43" s="151">
        <f t="shared" si="31"/>
        <v>150000</v>
      </c>
      <c r="AJ43" s="117">
        <f t="shared" si="32"/>
        <v>131451</v>
      </c>
      <c r="AK43" s="151">
        <f t="shared" si="25"/>
        <v>300000</v>
      </c>
      <c r="AL43" s="117">
        <f t="shared" si="26"/>
        <v>281356</v>
      </c>
      <c r="AM43" s="129">
        <f t="shared" si="27"/>
        <v>600000</v>
      </c>
      <c r="AN43" s="117">
        <f t="shared" si="20"/>
        <v>553968</v>
      </c>
    </row>
    <row r="44" spans="1:40" ht="20.25" customHeight="1" x14ac:dyDescent="0.15">
      <c r="A44" s="23"/>
      <c r="B44" s="5" t="s">
        <v>46</v>
      </c>
      <c r="C44" s="34">
        <v>15000</v>
      </c>
      <c r="D44" s="4">
        <v>10318</v>
      </c>
      <c r="E44" s="34">
        <v>15000</v>
      </c>
      <c r="F44" s="4">
        <v>10354</v>
      </c>
      <c r="G44" s="34">
        <v>15000</v>
      </c>
      <c r="H44" s="4">
        <v>10490</v>
      </c>
      <c r="I44" s="151">
        <f t="shared" si="28"/>
        <v>45000</v>
      </c>
      <c r="J44" s="117">
        <f t="shared" si="28"/>
        <v>31162</v>
      </c>
      <c r="K44" s="60">
        <v>15000</v>
      </c>
      <c r="L44" s="4">
        <v>10335</v>
      </c>
      <c r="M44" s="34">
        <v>15000</v>
      </c>
      <c r="N44" s="4">
        <v>10374</v>
      </c>
      <c r="O44" s="34">
        <v>15000</v>
      </c>
      <c r="P44" s="4">
        <v>10435</v>
      </c>
      <c r="Q44" s="151">
        <f t="shared" si="29"/>
        <v>45000</v>
      </c>
      <c r="R44" s="117">
        <f t="shared" si="30"/>
        <v>31144</v>
      </c>
      <c r="S44" s="151">
        <f t="shared" si="22"/>
        <v>90000</v>
      </c>
      <c r="T44" s="117">
        <f t="shared" si="22"/>
        <v>62306</v>
      </c>
      <c r="U44" s="60">
        <v>15000</v>
      </c>
      <c r="V44" s="4">
        <v>10533</v>
      </c>
      <c r="W44" s="34">
        <v>15000</v>
      </c>
      <c r="X44" s="4">
        <v>10708</v>
      </c>
      <c r="Y44" s="34">
        <v>15000</v>
      </c>
      <c r="Z44" s="4">
        <v>7356</v>
      </c>
      <c r="AA44" s="151">
        <f t="shared" si="23"/>
        <v>45000</v>
      </c>
      <c r="AB44" s="117">
        <f t="shared" si="24"/>
        <v>28597</v>
      </c>
      <c r="AC44" s="60">
        <v>15000</v>
      </c>
      <c r="AD44" s="4">
        <v>7485</v>
      </c>
      <c r="AE44" s="34">
        <v>15000</v>
      </c>
      <c r="AF44" s="4">
        <v>7204</v>
      </c>
      <c r="AG44" s="34">
        <v>15000</v>
      </c>
      <c r="AH44" s="4">
        <v>7231</v>
      </c>
      <c r="AI44" s="151">
        <f t="shared" si="31"/>
        <v>45000</v>
      </c>
      <c r="AJ44" s="117">
        <f t="shared" si="32"/>
        <v>21920</v>
      </c>
      <c r="AK44" s="151">
        <f t="shared" si="25"/>
        <v>90000</v>
      </c>
      <c r="AL44" s="117">
        <f t="shared" si="26"/>
        <v>50517</v>
      </c>
      <c r="AM44" s="129">
        <f t="shared" si="27"/>
        <v>180000</v>
      </c>
      <c r="AN44" s="117">
        <f t="shared" si="20"/>
        <v>112823</v>
      </c>
    </row>
    <row r="45" spans="1:40" ht="20.25" customHeight="1" x14ac:dyDescent="0.15">
      <c r="A45" s="23"/>
      <c r="B45" s="5" t="s">
        <v>47</v>
      </c>
      <c r="C45" s="34">
        <v>6000</v>
      </c>
      <c r="D45" s="4">
        <v>6606</v>
      </c>
      <c r="E45" s="34">
        <v>6000</v>
      </c>
      <c r="F45" s="4">
        <v>9439</v>
      </c>
      <c r="G45" s="34">
        <v>6000</v>
      </c>
      <c r="H45" s="4">
        <v>9368</v>
      </c>
      <c r="I45" s="151">
        <f t="shared" si="28"/>
        <v>18000</v>
      </c>
      <c r="J45" s="117">
        <f t="shared" si="28"/>
        <v>25413</v>
      </c>
      <c r="K45" s="60">
        <v>6000</v>
      </c>
      <c r="L45" s="4">
        <v>6948</v>
      </c>
      <c r="M45" s="34">
        <v>6000</v>
      </c>
      <c r="N45" s="4">
        <v>4760</v>
      </c>
      <c r="O45" s="34">
        <v>6000</v>
      </c>
      <c r="P45" s="4">
        <v>4332</v>
      </c>
      <c r="Q45" s="151">
        <f t="shared" si="29"/>
        <v>18000</v>
      </c>
      <c r="R45" s="117">
        <f t="shared" si="30"/>
        <v>16040</v>
      </c>
      <c r="S45" s="151">
        <f t="shared" si="22"/>
        <v>36000</v>
      </c>
      <c r="T45" s="117">
        <f t="shared" si="22"/>
        <v>41453</v>
      </c>
      <c r="U45" s="60">
        <v>6000</v>
      </c>
      <c r="V45" s="4">
        <v>4380</v>
      </c>
      <c r="W45" s="34">
        <v>6000</v>
      </c>
      <c r="X45" s="4">
        <v>5064</v>
      </c>
      <c r="Y45" s="34">
        <v>6000</v>
      </c>
      <c r="Z45" s="4">
        <v>5232</v>
      </c>
      <c r="AA45" s="151">
        <f t="shared" si="23"/>
        <v>18000</v>
      </c>
      <c r="AB45" s="117">
        <f t="shared" si="24"/>
        <v>14676</v>
      </c>
      <c r="AC45" s="60">
        <v>6000</v>
      </c>
      <c r="AD45" s="4">
        <v>4831</v>
      </c>
      <c r="AE45" s="34">
        <v>6000</v>
      </c>
      <c r="AF45" s="4">
        <v>4255</v>
      </c>
      <c r="AG45" s="34">
        <v>6000</v>
      </c>
      <c r="AH45" s="4">
        <v>5072</v>
      </c>
      <c r="AI45" s="151">
        <f t="shared" si="31"/>
        <v>18000</v>
      </c>
      <c r="AJ45" s="117">
        <f t="shared" si="32"/>
        <v>14158</v>
      </c>
      <c r="AK45" s="151">
        <f t="shared" si="25"/>
        <v>36000</v>
      </c>
      <c r="AL45" s="117">
        <f t="shared" si="26"/>
        <v>28834</v>
      </c>
      <c r="AM45" s="129">
        <f t="shared" si="27"/>
        <v>72000</v>
      </c>
      <c r="AN45" s="117">
        <f t="shared" si="20"/>
        <v>70287</v>
      </c>
    </row>
    <row r="46" spans="1:40" ht="20.25" customHeight="1" x14ac:dyDescent="0.15">
      <c r="A46" s="23"/>
      <c r="B46" s="5" t="s">
        <v>48</v>
      </c>
      <c r="C46" s="34">
        <v>2000</v>
      </c>
      <c r="D46" s="4">
        <v>1750</v>
      </c>
      <c r="E46" s="34">
        <v>2000</v>
      </c>
      <c r="F46" s="4">
        <v>1450</v>
      </c>
      <c r="G46" s="34">
        <v>2000</v>
      </c>
      <c r="H46" s="4">
        <v>1150</v>
      </c>
      <c r="I46" s="151">
        <f t="shared" si="28"/>
        <v>6000</v>
      </c>
      <c r="J46" s="117">
        <f t="shared" si="28"/>
        <v>4350</v>
      </c>
      <c r="K46" s="60">
        <v>2000</v>
      </c>
      <c r="L46" s="4">
        <v>3050</v>
      </c>
      <c r="M46" s="34">
        <v>2000</v>
      </c>
      <c r="N46" s="4">
        <v>2450</v>
      </c>
      <c r="O46" s="34">
        <v>2000</v>
      </c>
      <c r="P46" s="4">
        <v>1850</v>
      </c>
      <c r="Q46" s="151">
        <f t="shared" si="29"/>
        <v>6000</v>
      </c>
      <c r="R46" s="117">
        <f t="shared" si="30"/>
        <v>7350</v>
      </c>
      <c r="S46" s="151">
        <f t="shared" si="22"/>
        <v>12000</v>
      </c>
      <c r="T46" s="117">
        <f t="shared" si="22"/>
        <v>11700</v>
      </c>
      <c r="U46" s="60">
        <v>2000</v>
      </c>
      <c r="V46" s="4">
        <v>3050</v>
      </c>
      <c r="W46" s="34">
        <v>2000</v>
      </c>
      <c r="X46" s="4">
        <v>2450</v>
      </c>
      <c r="Y46" s="34">
        <v>2000</v>
      </c>
      <c r="Z46" s="4">
        <v>2450</v>
      </c>
      <c r="AA46" s="151">
        <f t="shared" si="23"/>
        <v>6000</v>
      </c>
      <c r="AB46" s="117">
        <f t="shared" si="24"/>
        <v>7950</v>
      </c>
      <c r="AC46" s="60">
        <v>2000</v>
      </c>
      <c r="AD46" s="4">
        <v>2450</v>
      </c>
      <c r="AE46" s="34">
        <v>2000</v>
      </c>
      <c r="AF46" s="4">
        <v>2450</v>
      </c>
      <c r="AG46" s="34">
        <v>2000</v>
      </c>
      <c r="AH46" s="4">
        <v>2450</v>
      </c>
      <c r="AI46" s="151">
        <f t="shared" si="31"/>
        <v>6000</v>
      </c>
      <c r="AJ46" s="117">
        <f t="shared" si="32"/>
        <v>7350</v>
      </c>
      <c r="AK46" s="151">
        <f t="shared" si="25"/>
        <v>12000</v>
      </c>
      <c r="AL46" s="117">
        <f t="shared" si="26"/>
        <v>15300</v>
      </c>
      <c r="AM46" s="129">
        <f t="shared" si="27"/>
        <v>24000</v>
      </c>
      <c r="AN46" s="117">
        <f t="shared" si="20"/>
        <v>27000</v>
      </c>
    </row>
    <row r="47" spans="1:40" ht="20.25" customHeight="1" x14ac:dyDescent="0.15">
      <c r="A47" s="23"/>
      <c r="B47" s="5" t="s">
        <v>49</v>
      </c>
      <c r="C47" s="34">
        <v>0</v>
      </c>
      <c r="D47" s="4"/>
      <c r="E47" s="34">
        <v>0</v>
      </c>
      <c r="F47" s="4"/>
      <c r="G47" s="34">
        <v>0</v>
      </c>
      <c r="H47" s="4"/>
      <c r="I47" s="151">
        <f t="shared" si="28"/>
        <v>0</v>
      </c>
      <c r="J47" s="117">
        <f t="shared" si="28"/>
        <v>0</v>
      </c>
      <c r="K47" s="60">
        <v>0</v>
      </c>
      <c r="L47" s="4"/>
      <c r="M47" s="34">
        <v>0</v>
      </c>
      <c r="N47" s="4"/>
      <c r="O47" s="34">
        <v>0</v>
      </c>
      <c r="P47" s="4"/>
      <c r="Q47" s="151">
        <f t="shared" si="29"/>
        <v>0</v>
      </c>
      <c r="R47" s="117">
        <f t="shared" si="30"/>
        <v>0</v>
      </c>
      <c r="S47" s="151">
        <f t="shared" si="22"/>
        <v>0</v>
      </c>
      <c r="T47" s="117">
        <f t="shared" si="22"/>
        <v>0</v>
      </c>
      <c r="U47" s="60">
        <v>0</v>
      </c>
      <c r="V47" s="4"/>
      <c r="W47" s="34">
        <v>0</v>
      </c>
      <c r="X47" s="4"/>
      <c r="Y47" s="34">
        <v>0</v>
      </c>
      <c r="Z47" s="4"/>
      <c r="AA47" s="151">
        <f t="shared" si="23"/>
        <v>0</v>
      </c>
      <c r="AB47" s="117">
        <f t="shared" si="24"/>
        <v>0</v>
      </c>
      <c r="AC47" s="60">
        <v>0</v>
      </c>
      <c r="AD47" s="4"/>
      <c r="AE47" s="34">
        <v>0</v>
      </c>
      <c r="AF47" s="4"/>
      <c r="AG47" s="34">
        <v>0</v>
      </c>
      <c r="AH47" s="4"/>
      <c r="AI47" s="151">
        <f t="shared" si="31"/>
        <v>0</v>
      </c>
      <c r="AJ47" s="117">
        <f t="shared" si="32"/>
        <v>0</v>
      </c>
      <c r="AK47" s="151">
        <f t="shared" si="25"/>
        <v>0</v>
      </c>
      <c r="AL47" s="117">
        <f t="shared" si="26"/>
        <v>0</v>
      </c>
      <c r="AM47" s="129">
        <f t="shared" si="27"/>
        <v>0</v>
      </c>
      <c r="AN47" s="117">
        <f t="shared" si="20"/>
        <v>0</v>
      </c>
    </row>
    <row r="48" spans="1:40" ht="20.25" customHeight="1" x14ac:dyDescent="0.15">
      <c r="A48" s="23"/>
      <c r="B48" s="5" t="s">
        <v>50</v>
      </c>
      <c r="C48" s="34">
        <v>1000</v>
      </c>
      <c r="D48" s="4">
        <v>1055</v>
      </c>
      <c r="E48" s="34">
        <v>1000</v>
      </c>
      <c r="F48" s="4"/>
      <c r="G48" s="34">
        <v>1000</v>
      </c>
      <c r="H48" s="4"/>
      <c r="I48" s="151">
        <f t="shared" si="28"/>
        <v>3000</v>
      </c>
      <c r="J48" s="117">
        <f t="shared" si="28"/>
        <v>1055</v>
      </c>
      <c r="K48" s="60">
        <v>1000</v>
      </c>
      <c r="L48" s="4"/>
      <c r="M48" s="34">
        <v>1000</v>
      </c>
      <c r="N48" s="4"/>
      <c r="O48" s="34">
        <v>1000</v>
      </c>
      <c r="P48" s="4"/>
      <c r="Q48" s="151">
        <f t="shared" si="29"/>
        <v>3000</v>
      </c>
      <c r="R48" s="117">
        <f t="shared" si="30"/>
        <v>0</v>
      </c>
      <c r="S48" s="151">
        <f t="shared" si="22"/>
        <v>6000</v>
      </c>
      <c r="T48" s="117">
        <f t="shared" si="22"/>
        <v>1055</v>
      </c>
      <c r="U48" s="60">
        <v>1000</v>
      </c>
      <c r="V48" s="4"/>
      <c r="W48" s="34">
        <v>1000</v>
      </c>
      <c r="X48" s="4"/>
      <c r="Y48" s="34">
        <v>1000</v>
      </c>
      <c r="Z48" s="4"/>
      <c r="AA48" s="151">
        <f t="shared" si="23"/>
        <v>3000</v>
      </c>
      <c r="AB48" s="117">
        <f t="shared" si="24"/>
        <v>0</v>
      </c>
      <c r="AC48" s="60">
        <v>1000</v>
      </c>
      <c r="AD48" s="4"/>
      <c r="AE48" s="34">
        <v>1000</v>
      </c>
      <c r="AF48" s="4"/>
      <c r="AG48" s="34">
        <v>1000</v>
      </c>
      <c r="AH48" s="4"/>
      <c r="AI48" s="151">
        <f t="shared" si="31"/>
        <v>3000</v>
      </c>
      <c r="AJ48" s="117">
        <f t="shared" si="32"/>
        <v>0</v>
      </c>
      <c r="AK48" s="151">
        <f t="shared" si="25"/>
        <v>6000</v>
      </c>
      <c r="AL48" s="117">
        <f t="shared" si="26"/>
        <v>0</v>
      </c>
      <c r="AM48" s="129">
        <f t="shared" si="27"/>
        <v>12000</v>
      </c>
      <c r="AN48" s="117">
        <f t="shared" si="20"/>
        <v>1055</v>
      </c>
    </row>
    <row r="49" spans="1:40" ht="20.25" customHeight="1" x14ac:dyDescent="0.15">
      <c r="A49" s="23"/>
      <c r="B49" s="5" t="s">
        <v>51</v>
      </c>
      <c r="C49" s="34">
        <v>500000</v>
      </c>
      <c r="D49" s="4">
        <v>1139800</v>
      </c>
      <c r="E49" s="34">
        <v>500000</v>
      </c>
      <c r="F49" s="4">
        <v>1213000</v>
      </c>
      <c r="G49" s="34">
        <v>500000</v>
      </c>
      <c r="H49" s="4">
        <v>853300</v>
      </c>
      <c r="I49" s="151">
        <f t="shared" si="28"/>
        <v>1500000</v>
      </c>
      <c r="J49" s="117">
        <f t="shared" si="28"/>
        <v>3206100</v>
      </c>
      <c r="K49" s="60">
        <v>500000</v>
      </c>
      <c r="L49" s="4">
        <v>755500</v>
      </c>
      <c r="M49" s="34">
        <v>500000</v>
      </c>
      <c r="N49" s="4">
        <v>1050500</v>
      </c>
      <c r="O49" s="34">
        <v>500000</v>
      </c>
      <c r="P49" s="4">
        <v>1530100</v>
      </c>
      <c r="Q49" s="151">
        <f t="shared" si="29"/>
        <v>1500000</v>
      </c>
      <c r="R49" s="117">
        <f t="shared" si="30"/>
        <v>3336100</v>
      </c>
      <c r="S49" s="151">
        <f t="shared" si="22"/>
        <v>3000000</v>
      </c>
      <c r="T49" s="117">
        <f t="shared" si="22"/>
        <v>6542200</v>
      </c>
      <c r="U49" s="60">
        <v>500000</v>
      </c>
      <c r="V49" s="4">
        <v>1201100</v>
      </c>
      <c r="W49" s="34">
        <v>500000</v>
      </c>
      <c r="X49" s="4">
        <v>1112000</v>
      </c>
      <c r="Y49" s="34">
        <v>500000</v>
      </c>
      <c r="Z49" s="4">
        <v>1475000</v>
      </c>
      <c r="AA49" s="151">
        <f t="shared" si="23"/>
        <v>1500000</v>
      </c>
      <c r="AB49" s="117">
        <f t="shared" si="24"/>
        <v>3788100</v>
      </c>
      <c r="AC49" s="60">
        <v>500000</v>
      </c>
      <c r="AD49" s="4">
        <v>1055000</v>
      </c>
      <c r="AE49" s="34">
        <v>500000</v>
      </c>
      <c r="AF49" s="4">
        <v>699000</v>
      </c>
      <c r="AG49" s="34">
        <v>500000</v>
      </c>
      <c r="AH49" s="4">
        <v>714000</v>
      </c>
      <c r="AI49" s="151">
        <f t="shared" si="31"/>
        <v>1500000</v>
      </c>
      <c r="AJ49" s="117">
        <f t="shared" si="32"/>
        <v>2468000</v>
      </c>
      <c r="AK49" s="151">
        <f t="shared" si="25"/>
        <v>3000000</v>
      </c>
      <c r="AL49" s="117">
        <f t="shared" si="26"/>
        <v>6256100</v>
      </c>
      <c r="AM49" s="129">
        <f t="shared" si="27"/>
        <v>6000000</v>
      </c>
      <c r="AN49" s="117">
        <f t="shared" si="20"/>
        <v>12798300</v>
      </c>
    </row>
    <row r="50" spans="1:40" ht="20.25" customHeight="1" x14ac:dyDescent="0.15">
      <c r="A50" s="23"/>
      <c r="B50" s="5" t="s">
        <v>206</v>
      </c>
      <c r="C50" s="34">
        <v>5000</v>
      </c>
      <c r="D50" s="4"/>
      <c r="E50" s="34">
        <v>5000</v>
      </c>
      <c r="F50" s="4">
        <v>4904</v>
      </c>
      <c r="G50" s="34">
        <v>5000</v>
      </c>
      <c r="H50" s="4"/>
      <c r="I50" s="151">
        <f t="shared" si="28"/>
        <v>15000</v>
      </c>
      <c r="J50" s="117">
        <f t="shared" si="28"/>
        <v>4904</v>
      </c>
      <c r="K50" s="60">
        <v>5000</v>
      </c>
      <c r="L50" s="4"/>
      <c r="M50" s="34">
        <v>5000</v>
      </c>
      <c r="N50" s="4">
        <v>9000</v>
      </c>
      <c r="O50" s="34">
        <v>5000</v>
      </c>
      <c r="P50" s="4"/>
      <c r="Q50" s="151">
        <f t="shared" si="29"/>
        <v>15000</v>
      </c>
      <c r="R50" s="117">
        <f t="shared" si="30"/>
        <v>9000</v>
      </c>
      <c r="S50" s="151">
        <f t="shared" si="22"/>
        <v>30000</v>
      </c>
      <c r="T50" s="117">
        <f t="shared" si="22"/>
        <v>13904</v>
      </c>
      <c r="U50" s="60">
        <v>5000</v>
      </c>
      <c r="V50" s="4"/>
      <c r="W50" s="34">
        <v>5000</v>
      </c>
      <c r="X50" s="4"/>
      <c r="Y50" s="34">
        <v>5000</v>
      </c>
      <c r="Z50" s="4">
        <v>3658</v>
      </c>
      <c r="AA50" s="151">
        <f t="shared" si="23"/>
        <v>15000</v>
      </c>
      <c r="AB50" s="117">
        <f t="shared" si="24"/>
        <v>3658</v>
      </c>
      <c r="AC50" s="60">
        <v>5000</v>
      </c>
      <c r="AD50" s="4"/>
      <c r="AE50" s="34">
        <v>5000</v>
      </c>
      <c r="AF50" s="4">
        <v>22028</v>
      </c>
      <c r="AG50" s="34">
        <v>5000</v>
      </c>
      <c r="AH50" s="4"/>
      <c r="AI50" s="151">
        <f t="shared" si="31"/>
        <v>15000</v>
      </c>
      <c r="AJ50" s="117">
        <f t="shared" si="32"/>
        <v>22028</v>
      </c>
      <c r="AK50" s="151">
        <f t="shared" si="25"/>
        <v>30000</v>
      </c>
      <c r="AL50" s="117">
        <f t="shared" si="26"/>
        <v>25686</v>
      </c>
      <c r="AM50" s="129">
        <f t="shared" si="27"/>
        <v>60000</v>
      </c>
      <c r="AN50" s="117">
        <f t="shared" si="20"/>
        <v>39590</v>
      </c>
    </row>
    <row r="51" spans="1:40" ht="20.25" customHeight="1" x14ac:dyDescent="0.15">
      <c r="A51" s="23"/>
      <c r="B51" s="5" t="s">
        <v>191</v>
      </c>
      <c r="C51" s="34">
        <v>0</v>
      </c>
      <c r="D51" s="4"/>
      <c r="E51" s="34">
        <v>0</v>
      </c>
      <c r="F51" s="4"/>
      <c r="G51" s="34">
        <v>0</v>
      </c>
      <c r="H51" s="4"/>
      <c r="I51" s="151">
        <f t="shared" si="28"/>
        <v>0</v>
      </c>
      <c r="J51" s="117">
        <f t="shared" si="28"/>
        <v>0</v>
      </c>
      <c r="K51" s="60">
        <v>0</v>
      </c>
      <c r="L51" s="4"/>
      <c r="M51" s="34">
        <v>0</v>
      </c>
      <c r="N51" s="4"/>
      <c r="O51" s="34">
        <v>0</v>
      </c>
      <c r="P51" s="4"/>
      <c r="Q51" s="151">
        <f t="shared" si="29"/>
        <v>0</v>
      </c>
      <c r="R51" s="117">
        <f t="shared" si="30"/>
        <v>0</v>
      </c>
      <c r="S51" s="151">
        <f t="shared" si="22"/>
        <v>0</v>
      </c>
      <c r="T51" s="117">
        <f t="shared" si="22"/>
        <v>0</v>
      </c>
      <c r="U51" s="60">
        <v>0</v>
      </c>
      <c r="V51" s="4"/>
      <c r="W51" s="34">
        <v>0</v>
      </c>
      <c r="X51" s="4"/>
      <c r="Y51" s="34">
        <v>0</v>
      </c>
      <c r="Z51" s="4"/>
      <c r="AA51" s="151">
        <f t="shared" si="23"/>
        <v>0</v>
      </c>
      <c r="AB51" s="117">
        <f t="shared" si="24"/>
        <v>0</v>
      </c>
      <c r="AC51" s="60">
        <v>0</v>
      </c>
      <c r="AD51" s="4"/>
      <c r="AE51" s="34">
        <v>0</v>
      </c>
      <c r="AF51" s="4"/>
      <c r="AG51" s="34">
        <v>0</v>
      </c>
      <c r="AH51" s="4"/>
      <c r="AI51" s="151">
        <f t="shared" si="31"/>
        <v>0</v>
      </c>
      <c r="AJ51" s="117">
        <f t="shared" si="32"/>
        <v>0</v>
      </c>
      <c r="AK51" s="151">
        <f t="shared" si="25"/>
        <v>0</v>
      </c>
      <c r="AL51" s="117">
        <f t="shared" si="26"/>
        <v>0</v>
      </c>
      <c r="AM51" s="129">
        <f t="shared" si="27"/>
        <v>0</v>
      </c>
      <c r="AN51" s="117">
        <f t="shared" si="20"/>
        <v>0</v>
      </c>
    </row>
    <row r="52" spans="1:40" ht="20.25" customHeight="1" x14ac:dyDescent="0.15">
      <c r="A52" s="23"/>
      <c r="B52" s="5" t="s">
        <v>54</v>
      </c>
      <c r="C52" s="34">
        <v>0</v>
      </c>
      <c r="D52" s="4"/>
      <c r="E52" s="34">
        <v>0</v>
      </c>
      <c r="F52" s="4"/>
      <c r="G52" s="34">
        <v>0</v>
      </c>
      <c r="H52" s="4"/>
      <c r="I52" s="151">
        <f t="shared" si="28"/>
        <v>0</v>
      </c>
      <c r="J52" s="117">
        <f t="shared" si="28"/>
        <v>0</v>
      </c>
      <c r="K52" s="60">
        <v>0</v>
      </c>
      <c r="L52" s="4"/>
      <c r="M52" s="34">
        <v>0</v>
      </c>
      <c r="N52" s="4"/>
      <c r="O52" s="34">
        <v>0</v>
      </c>
      <c r="P52" s="4"/>
      <c r="Q52" s="151">
        <f t="shared" si="29"/>
        <v>0</v>
      </c>
      <c r="R52" s="117">
        <f t="shared" si="30"/>
        <v>0</v>
      </c>
      <c r="S52" s="151">
        <f t="shared" si="22"/>
        <v>0</v>
      </c>
      <c r="T52" s="117">
        <f t="shared" si="22"/>
        <v>0</v>
      </c>
      <c r="U52" s="60">
        <v>0</v>
      </c>
      <c r="V52" s="4"/>
      <c r="W52" s="34">
        <v>0</v>
      </c>
      <c r="X52" s="4"/>
      <c r="Y52" s="34">
        <v>0</v>
      </c>
      <c r="Z52" s="4"/>
      <c r="AA52" s="151">
        <f t="shared" si="23"/>
        <v>0</v>
      </c>
      <c r="AB52" s="117">
        <f t="shared" si="24"/>
        <v>0</v>
      </c>
      <c r="AC52" s="60">
        <v>0</v>
      </c>
      <c r="AD52" s="4"/>
      <c r="AE52" s="34">
        <v>0</v>
      </c>
      <c r="AF52" s="4"/>
      <c r="AG52" s="34">
        <v>0</v>
      </c>
      <c r="AH52" s="4"/>
      <c r="AI52" s="151">
        <f t="shared" si="31"/>
        <v>0</v>
      </c>
      <c r="AJ52" s="117">
        <f t="shared" si="32"/>
        <v>0</v>
      </c>
      <c r="AK52" s="151">
        <f t="shared" si="25"/>
        <v>0</v>
      </c>
      <c r="AL52" s="117">
        <f t="shared" si="26"/>
        <v>0</v>
      </c>
      <c r="AM52" s="129">
        <f t="shared" si="27"/>
        <v>0</v>
      </c>
      <c r="AN52" s="117">
        <f t="shared" si="20"/>
        <v>0</v>
      </c>
    </row>
    <row r="53" spans="1:40" ht="20.25" customHeight="1" x14ac:dyDescent="0.15">
      <c r="A53" s="23"/>
      <c r="B53" s="5" t="s">
        <v>190</v>
      </c>
      <c r="C53" s="34">
        <v>5000</v>
      </c>
      <c r="D53" s="4"/>
      <c r="E53" s="34">
        <v>5000</v>
      </c>
      <c r="F53" s="4"/>
      <c r="G53" s="34">
        <v>5000</v>
      </c>
      <c r="H53" s="4"/>
      <c r="I53" s="151">
        <f t="shared" si="28"/>
        <v>15000</v>
      </c>
      <c r="J53" s="117">
        <f t="shared" si="28"/>
        <v>0</v>
      </c>
      <c r="K53" s="60">
        <v>5000</v>
      </c>
      <c r="L53" s="4"/>
      <c r="M53" s="34">
        <v>5000</v>
      </c>
      <c r="N53" s="4"/>
      <c r="O53" s="34">
        <v>5000</v>
      </c>
      <c r="P53" s="4"/>
      <c r="Q53" s="151">
        <f t="shared" si="29"/>
        <v>15000</v>
      </c>
      <c r="R53" s="117">
        <f t="shared" si="30"/>
        <v>0</v>
      </c>
      <c r="S53" s="151">
        <f t="shared" si="22"/>
        <v>30000</v>
      </c>
      <c r="T53" s="117">
        <f t="shared" si="22"/>
        <v>0</v>
      </c>
      <c r="U53" s="60">
        <v>5000</v>
      </c>
      <c r="V53" s="4"/>
      <c r="W53" s="34">
        <v>5000</v>
      </c>
      <c r="X53" s="4"/>
      <c r="Y53" s="34">
        <v>5000</v>
      </c>
      <c r="Z53" s="4"/>
      <c r="AA53" s="151">
        <f t="shared" si="23"/>
        <v>15000</v>
      </c>
      <c r="AB53" s="117">
        <f t="shared" si="24"/>
        <v>0</v>
      </c>
      <c r="AC53" s="60">
        <v>5000</v>
      </c>
      <c r="AD53" s="4"/>
      <c r="AE53" s="34">
        <v>5000</v>
      </c>
      <c r="AF53" s="4"/>
      <c r="AG53" s="34">
        <v>0</v>
      </c>
      <c r="AH53" s="4"/>
      <c r="AI53" s="151">
        <f t="shared" si="31"/>
        <v>10000</v>
      </c>
      <c r="AJ53" s="117">
        <f t="shared" si="32"/>
        <v>0</v>
      </c>
      <c r="AK53" s="151">
        <f t="shared" si="25"/>
        <v>25000</v>
      </c>
      <c r="AL53" s="117">
        <f t="shared" si="26"/>
        <v>0</v>
      </c>
      <c r="AM53" s="129">
        <f t="shared" si="27"/>
        <v>55000</v>
      </c>
      <c r="AN53" s="117">
        <f t="shared" si="20"/>
        <v>0</v>
      </c>
    </row>
    <row r="54" spans="1:40" ht="20.25" customHeight="1" x14ac:dyDescent="0.15">
      <c r="A54" s="26"/>
      <c r="B54" s="27" t="s">
        <v>55</v>
      </c>
      <c r="C54" s="35">
        <v>1000</v>
      </c>
      <c r="D54" s="28"/>
      <c r="E54" s="35">
        <v>1000</v>
      </c>
      <c r="F54" s="28"/>
      <c r="G54" s="35">
        <v>1000</v>
      </c>
      <c r="H54" s="28"/>
      <c r="I54" s="152">
        <f t="shared" si="28"/>
        <v>3000</v>
      </c>
      <c r="J54" s="118">
        <f t="shared" si="28"/>
        <v>0</v>
      </c>
      <c r="K54" s="61">
        <v>1000</v>
      </c>
      <c r="L54" s="28"/>
      <c r="M54" s="35">
        <v>1000</v>
      </c>
      <c r="N54" s="28"/>
      <c r="O54" s="35">
        <v>1000</v>
      </c>
      <c r="P54" s="28"/>
      <c r="Q54" s="152">
        <f t="shared" si="29"/>
        <v>3000</v>
      </c>
      <c r="R54" s="118">
        <f t="shared" si="30"/>
        <v>0</v>
      </c>
      <c r="S54" s="152">
        <f t="shared" si="22"/>
        <v>6000</v>
      </c>
      <c r="T54" s="118">
        <f t="shared" si="22"/>
        <v>0</v>
      </c>
      <c r="U54" s="61">
        <v>1000</v>
      </c>
      <c r="V54" s="28"/>
      <c r="W54" s="35">
        <v>1000</v>
      </c>
      <c r="X54" s="28"/>
      <c r="Y54" s="35">
        <v>1000</v>
      </c>
      <c r="Z54" s="28"/>
      <c r="AA54" s="152">
        <f t="shared" si="23"/>
        <v>3000</v>
      </c>
      <c r="AB54" s="118">
        <f t="shared" si="24"/>
        <v>0</v>
      </c>
      <c r="AC54" s="61">
        <v>1000</v>
      </c>
      <c r="AD54" s="28"/>
      <c r="AE54" s="35">
        <v>1000</v>
      </c>
      <c r="AF54" s="28"/>
      <c r="AG54" s="35">
        <v>1000</v>
      </c>
      <c r="AH54" s="28"/>
      <c r="AI54" s="152">
        <f t="shared" si="31"/>
        <v>3000</v>
      </c>
      <c r="AJ54" s="118">
        <f t="shared" si="32"/>
        <v>0</v>
      </c>
      <c r="AK54" s="152">
        <f t="shared" si="25"/>
        <v>6000</v>
      </c>
      <c r="AL54" s="118">
        <f t="shared" si="26"/>
        <v>0</v>
      </c>
      <c r="AM54" s="130">
        <f t="shared" si="27"/>
        <v>12000</v>
      </c>
      <c r="AN54" s="118">
        <f t="shared" si="20"/>
        <v>0</v>
      </c>
    </row>
    <row r="55" spans="1:40" ht="20.25" customHeight="1" x14ac:dyDescent="0.15">
      <c r="A55" s="21" t="s">
        <v>81</v>
      </c>
      <c r="B55" s="22" t="s">
        <v>188</v>
      </c>
      <c r="C55" s="34">
        <v>405000</v>
      </c>
      <c r="D55" s="4">
        <v>405000</v>
      </c>
      <c r="E55" s="34">
        <v>405000</v>
      </c>
      <c r="F55" s="4">
        <v>405000</v>
      </c>
      <c r="G55" s="34">
        <v>405000</v>
      </c>
      <c r="H55" s="4">
        <v>405000</v>
      </c>
      <c r="I55" s="151">
        <f t="shared" si="28"/>
        <v>1215000</v>
      </c>
      <c r="J55" s="117">
        <f t="shared" si="28"/>
        <v>1215000</v>
      </c>
      <c r="K55" s="60">
        <v>405000</v>
      </c>
      <c r="L55" s="4">
        <v>405000</v>
      </c>
      <c r="M55" s="34">
        <v>405000</v>
      </c>
      <c r="N55" s="4">
        <v>405000</v>
      </c>
      <c r="O55" s="34">
        <v>405000</v>
      </c>
      <c r="P55" s="4">
        <v>405000</v>
      </c>
      <c r="Q55" s="151">
        <f t="shared" si="29"/>
        <v>1215000</v>
      </c>
      <c r="R55" s="117">
        <f t="shared" si="30"/>
        <v>1215000</v>
      </c>
      <c r="S55" s="151">
        <f t="shared" si="22"/>
        <v>2430000</v>
      </c>
      <c r="T55" s="117">
        <f t="shared" si="22"/>
        <v>2430000</v>
      </c>
      <c r="U55" s="60">
        <v>405000</v>
      </c>
      <c r="V55" s="4">
        <v>405000</v>
      </c>
      <c r="W55" s="34">
        <v>405000</v>
      </c>
      <c r="X55" s="4">
        <v>405000</v>
      </c>
      <c r="Y55" s="34">
        <v>405000</v>
      </c>
      <c r="Z55" s="4">
        <v>405000</v>
      </c>
      <c r="AA55" s="151">
        <f t="shared" ref="AA55:AA57" si="33">U55+W55+Y55</f>
        <v>1215000</v>
      </c>
      <c r="AB55" s="117">
        <f t="shared" ref="AB55:AB57" si="34">V55+X55+Z55</f>
        <v>1215000</v>
      </c>
      <c r="AC55" s="60">
        <v>405000</v>
      </c>
      <c r="AD55" s="4">
        <v>405000</v>
      </c>
      <c r="AE55" s="34">
        <v>405000</v>
      </c>
      <c r="AF55" s="4">
        <v>405000</v>
      </c>
      <c r="AG55" s="34">
        <v>405000</v>
      </c>
      <c r="AH55" s="4">
        <v>405000</v>
      </c>
      <c r="AI55" s="151">
        <f t="shared" si="31"/>
        <v>1215000</v>
      </c>
      <c r="AJ55" s="117">
        <f t="shared" si="32"/>
        <v>1215000</v>
      </c>
      <c r="AK55" s="151">
        <f t="shared" si="25"/>
        <v>2430000</v>
      </c>
      <c r="AL55" s="117">
        <f t="shared" si="26"/>
        <v>2430000</v>
      </c>
      <c r="AM55" s="129">
        <f>SUM(C55,E55,G55,K55,M55,O55,U55,W55,Y55,AC55,AE55,AG55)</f>
        <v>4860000</v>
      </c>
      <c r="AN55" s="117">
        <f t="shared" si="20"/>
        <v>4860000</v>
      </c>
    </row>
    <row r="56" spans="1:40" ht="20.25" customHeight="1" x14ac:dyDescent="0.15">
      <c r="A56" s="21" t="s">
        <v>82</v>
      </c>
      <c r="B56" s="5" t="s">
        <v>207</v>
      </c>
      <c r="C56" s="34"/>
      <c r="D56" s="4"/>
      <c r="E56" s="34"/>
      <c r="F56" s="4"/>
      <c r="G56" s="34"/>
      <c r="H56" s="4"/>
      <c r="I56" s="151"/>
      <c r="J56" s="117"/>
      <c r="K56" s="60"/>
      <c r="L56" s="4"/>
      <c r="M56" s="34"/>
      <c r="N56" s="4"/>
      <c r="O56" s="34"/>
      <c r="P56" s="4"/>
      <c r="Q56" s="151"/>
      <c r="R56" s="117"/>
      <c r="S56" s="151"/>
      <c r="T56" s="117"/>
      <c r="U56" s="60"/>
      <c r="V56" s="4"/>
      <c r="W56" s="34"/>
      <c r="X56" s="4"/>
      <c r="Y56" s="34"/>
      <c r="Z56" s="4"/>
      <c r="AA56" s="151"/>
      <c r="AB56" s="117"/>
      <c r="AC56" s="60"/>
      <c r="AD56" s="4"/>
      <c r="AE56" s="34"/>
      <c r="AF56" s="4"/>
      <c r="AG56" s="34"/>
      <c r="AH56" s="4"/>
      <c r="AI56" s="151"/>
      <c r="AJ56" s="117"/>
      <c r="AK56" s="151"/>
      <c r="AL56" s="117"/>
      <c r="AM56" s="129">
        <f t="shared" si="27"/>
        <v>0</v>
      </c>
      <c r="AN56" s="117">
        <f t="shared" si="20"/>
        <v>0</v>
      </c>
    </row>
    <row r="57" spans="1:40" ht="20.25" customHeight="1" thickBot="1" x14ac:dyDescent="0.2">
      <c r="A57" s="21"/>
      <c r="B57" s="6" t="s">
        <v>74</v>
      </c>
      <c r="C57" s="34"/>
      <c r="D57" s="4"/>
      <c r="E57" s="34"/>
      <c r="F57" s="4"/>
      <c r="G57" s="34"/>
      <c r="H57" s="4"/>
      <c r="I57" s="151">
        <f t="shared" si="28"/>
        <v>0</v>
      </c>
      <c r="J57" s="117">
        <f t="shared" si="28"/>
        <v>0</v>
      </c>
      <c r="K57" s="60"/>
      <c r="L57" s="4">
        <v>82500</v>
      </c>
      <c r="M57" s="34"/>
      <c r="N57" s="4"/>
      <c r="O57" s="34"/>
      <c r="P57" s="4">
        <v>80000</v>
      </c>
      <c r="Q57" s="151">
        <f t="shared" si="29"/>
        <v>0</v>
      </c>
      <c r="R57" s="117">
        <f t="shared" si="30"/>
        <v>162500</v>
      </c>
      <c r="S57" s="151">
        <f t="shared" si="22"/>
        <v>0</v>
      </c>
      <c r="T57" s="117">
        <f t="shared" si="22"/>
        <v>162500</v>
      </c>
      <c r="U57" s="60"/>
      <c r="V57" s="4"/>
      <c r="W57" s="34"/>
      <c r="X57" s="4"/>
      <c r="Y57" s="34"/>
      <c r="Z57" s="4"/>
      <c r="AA57" s="151">
        <f t="shared" si="33"/>
        <v>0</v>
      </c>
      <c r="AB57" s="117">
        <f t="shared" si="34"/>
        <v>0</v>
      </c>
      <c r="AC57" s="60"/>
      <c r="AD57" s="4">
        <v>80000</v>
      </c>
      <c r="AE57" s="34"/>
      <c r="AF57" s="4"/>
      <c r="AG57" s="34"/>
      <c r="AH57" s="4"/>
      <c r="AI57" s="151">
        <f t="shared" si="31"/>
        <v>0</v>
      </c>
      <c r="AJ57" s="117">
        <f t="shared" si="32"/>
        <v>80000</v>
      </c>
      <c r="AK57" s="151">
        <f t="shared" si="25"/>
        <v>0</v>
      </c>
      <c r="AL57" s="117">
        <f t="shared" si="26"/>
        <v>80000</v>
      </c>
      <c r="AM57" s="129">
        <f t="shared" si="27"/>
        <v>0</v>
      </c>
      <c r="AN57" s="117">
        <f t="shared" si="20"/>
        <v>242500</v>
      </c>
    </row>
    <row r="58" spans="1:40" ht="20.25" customHeight="1" thickTop="1" thickBot="1" x14ac:dyDescent="0.2">
      <c r="A58" s="24"/>
      <c r="B58" s="7" t="s">
        <v>27</v>
      </c>
      <c r="C58" s="40">
        <f>SUM(C33:C57)</f>
        <v>1066500</v>
      </c>
      <c r="D58" s="14">
        <f>SUM(D33:D57)</f>
        <v>1696178</v>
      </c>
      <c r="E58" s="40">
        <f t="shared" ref="E58:AG58" si="35">SUM(E33:E57)</f>
        <v>1066500</v>
      </c>
      <c r="F58" s="14">
        <f>SUM(F33:F57)</f>
        <v>1780821</v>
      </c>
      <c r="G58" s="40">
        <f t="shared" si="35"/>
        <v>1066500</v>
      </c>
      <c r="H58" s="14">
        <f>SUM(H33:H57)</f>
        <v>1417937</v>
      </c>
      <c r="I58" s="40">
        <f t="shared" si="35"/>
        <v>3199500</v>
      </c>
      <c r="J58" s="14">
        <f t="shared" si="35"/>
        <v>4894936</v>
      </c>
      <c r="K58" s="66">
        <f t="shared" si="35"/>
        <v>1066500</v>
      </c>
      <c r="L58" s="14">
        <f t="shared" si="35"/>
        <v>1394443</v>
      </c>
      <c r="M58" s="40">
        <f t="shared" si="35"/>
        <v>1066500</v>
      </c>
      <c r="N58" s="14">
        <f t="shared" si="35"/>
        <v>1622989</v>
      </c>
      <c r="O58" s="40">
        <f t="shared" si="35"/>
        <v>1066500</v>
      </c>
      <c r="P58" s="14">
        <f t="shared" si="35"/>
        <v>2170288</v>
      </c>
      <c r="Q58" s="40">
        <f>SUM(Q33:Q57)</f>
        <v>3199500</v>
      </c>
      <c r="R58" s="14">
        <f>SUM(R33:R57)</f>
        <v>5187720</v>
      </c>
      <c r="S58" s="40">
        <f t="shared" si="35"/>
        <v>6399000</v>
      </c>
      <c r="T58" s="14">
        <f t="shared" si="35"/>
        <v>10082656</v>
      </c>
      <c r="U58" s="66">
        <f t="shared" si="35"/>
        <v>1066500</v>
      </c>
      <c r="V58" s="14">
        <f t="shared" si="35"/>
        <v>1771773</v>
      </c>
      <c r="W58" s="40">
        <f t="shared" si="35"/>
        <v>1066500</v>
      </c>
      <c r="X58" s="14">
        <f t="shared" si="35"/>
        <v>1673652</v>
      </c>
      <c r="Y58" s="40">
        <f t="shared" si="35"/>
        <v>1066500</v>
      </c>
      <c r="Z58" s="14">
        <f t="shared" si="35"/>
        <v>2047408</v>
      </c>
      <c r="AA58" s="40">
        <f>SUM(AA33:AA57)</f>
        <v>3199500</v>
      </c>
      <c r="AB58" s="14">
        <f>SUM(AB33:AB57)</f>
        <v>5492833</v>
      </c>
      <c r="AC58" s="66">
        <f t="shared" si="35"/>
        <v>1066500</v>
      </c>
      <c r="AD58" s="14">
        <f t="shared" si="35"/>
        <v>1694031</v>
      </c>
      <c r="AE58" s="40">
        <f t="shared" si="35"/>
        <v>1066500</v>
      </c>
      <c r="AF58" s="14">
        <f t="shared" si="35"/>
        <v>1274565</v>
      </c>
      <c r="AG58" s="40">
        <f t="shared" si="35"/>
        <v>1061500</v>
      </c>
      <c r="AH58" s="14">
        <f t="shared" ref="AH58:AM58" si="36">SUM(AH33:AH57)</f>
        <v>1281400</v>
      </c>
      <c r="AI58" s="40">
        <f t="shared" si="36"/>
        <v>3194500</v>
      </c>
      <c r="AJ58" s="14">
        <f t="shared" si="36"/>
        <v>4249996</v>
      </c>
      <c r="AK58" s="40">
        <f t="shared" si="36"/>
        <v>6394000</v>
      </c>
      <c r="AL58" s="14">
        <f t="shared" si="36"/>
        <v>9742829</v>
      </c>
      <c r="AM58" s="66">
        <f t="shared" si="36"/>
        <v>12793000</v>
      </c>
      <c r="AN58" s="14">
        <f t="shared" si="20"/>
        <v>19825485</v>
      </c>
    </row>
    <row r="59" spans="1:40" ht="20.25" customHeight="1" thickBot="1" x14ac:dyDescent="0.2">
      <c r="A59" s="212" t="s">
        <v>57</v>
      </c>
      <c r="B59" s="213"/>
      <c r="C59" s="41">
        <f>C32+C58</f>
        <v>1911202.4387146295</v>
      </c>
      <c r="D59" s="15">
        <f>D32+D58</f>
        <v>2486736.87</v>
      </c>
      <c r="E59" s="41">
        <f t="shared" ref="E59:AH59" si="37">E32+E58</f>
        <v>1911202.4387146295</v>
      </c>
      <c r="F59" s="15">
        <f t="shared" si="37"/>
        <v>2598498.52</v>
      </c>
      <c r="G59" s="41">
        <f t="shared" si="37"/>
        <v>2026874.2156738625</v>
      </c>
      <c r="H59" s="15">
        <f t="shared" si="37"/>
        <v>2212207.923</v>
      </c>
      <c r="I59" s="41">
        <f t="shared" si="37"/>
        <v>3199500</v>
      </c>
      <c r="J59" s="15">
        <f t="shared" si="37"/>
        <v>4894936</v>
      </c>
      <c r="K59" s="67">
        <f t="shared" si="37"/>
        <v>2026874.2156738625</v>
      </c>
      <c r="L59" s="15">
        <f t="shared" si="37"/>
        <v>2174360.2480000001</v>
      </c>
      <c r="M59" s="41">
        <f t="shared" si="37"/>
        <v>2026874.2156738625</v>
      </c>
      <c r="N59" s="15">
        <f t="shared" si="37"/>
        <v>2430426.0699999998</v>
      </c>
      <c r="O59" s="41">
        <f t="shared" si="37"/>
        <v>2026874.2156738625</v>
      </c>
      <c r="P59" s="15">
        <f t="shared" si="37"/>
        <v>2980651.77</v>
      </c>
      <c r="Q59" s="41">
        <f>Q32+Q58</f>
        <v>3199500</v>
      </c>
      <c r="R59" s="15">
        <f>R32+R58</f>
        <v>5187720</v>
      </c>
      <c r="S59" s="41">
        <f t="shared" si="37"/>
        <v>6399000</v>
      </c>
      <c r="T59" s="15">
        <f t="shared" si="37"/>
        <v>10082656</v>
      </c>
      <c r="U59" s="67">
        <f t="shared" si="37"/>
        <v>2026874.2156738625</v>
      </c>
      <c r="V59" s="15">
        <f t="shared" si="37"/>
        <v>2574089.8449999997</v>
      </c>
      <c r="W59" s="41">
        <f t="shared" si="37"/>
        <v>2026874.2156738625</v>
      </c>
      <c r="X59" s="15">
        <f t="shared" si="37"/>
        <v>2467093.0959999999</v>
      </c>
      <c r="Y59" s="41">
        <f t="shared" si="37"/>
        <v>2026874.2156738625</v>
      </c>
      <c r="Z59" s="15">
        <f t="shared" si="37"/>
        <v>2846265.1340000001</v>
      </c>
      <c r="AA59" s="41">
        <f>AA32+AA58</f>
        <v>3199500</v>
      </c>
      <c r="AB59" s="15">
        <f>AB32+AB58</f>
        <v>5492833</v>
      </c>
      <c r="AC59" s="67">
        <f t="shared" si="37"/>
        <v>2026874.2156738625</v>
      </c>
      <c r="AD59" s="15">
        <f t="shared" si="37"/>
        <v>2507230.6140000001</v>
      </c>
      <c r="AE59" s="41">
        <f t="shared" si="37"/>
        <v>2026874.2156738625</v>
      </c>
      <c r="AF59" s="15">
        <f t="shared" si="37"/>
        <v>2978868.2620000001</v>
      </c>
      <c r="AG59" s="41">
        <f t="shared" si="37"/>
        <v>2021874.2156738625</v>
      </c>
      <c r="AH59" s="15">
        <f t="shared" si="37"/>
        <v>2070046.9</v>
      </c>
      <c r="AI59" s="41">
        <f>AI32+AI58</f>
        <v>6075622.6470215879</v>
      </c>
      <c r="AJ59" s="15">
        <f>AJ32+AJ58</f>
        <v>7556145.7760000005</v>
      </c>
      <c r="AK59" s="41">
        <f>AK32+AK58</f>
        <v>9275122.6470215879</v>
      </c>
      <c r="AL59" s="15">
        <f>AL32+AL58</f>
        <v>13048978.776000001</v>
      </c>
      <c r="AM59" s="67">
        <f>AM32+AM58</f>
        <v>24086147.034167886</v>
      </c>
      <c r="AN59" s="15">
        <f t="shared" si="20"/>
        <v>30326475.251999997</v>
      </c>
    </row>
    <row r="60" spans="1:40" ht="20.25" customHeight="1" x14ac:dyDescent="0.15">
      <c r="A60" s="218" t="s">
        <v>75</v>
      </c>
      <c r="B60" s="219"/>
      <c r="C60" s="37">
        <f>C21-C59</f>
        <v>1250557.3691755165</v>
      </c>
      <c r="D60" s="9">
        <f>D21-D59</f>
        <v>599510.12999999989</v>
      </c>
      <c r="E60" s="37">
        <f t="shared" ref="E60:AH60" si="38">E21-E59</f>
        <v>1489342.5612853705</v>
      </c>
      <c r="F60" s="9">
        <f t="shared" si="38"/>
        <v>1191831.48</v>
      </c>
      <c r="G60" s="37">
        <f t="shared" si="38"/>
        <v>1451515.7843261375</v>
      </c>
      <c r="H60" s="9">
        <f t="shared" si="38"/>
        <v>1869276.077</v>
      </c>
      <c r="I60" s="37">
        <f t="shared" si="38"/>
        <v>6841194.807890147</v>
      </c>
      <c r="J60" s="9">
        <f t="shared" si="38"/>
        <v>6063125</v>
      </c>
      <c r="K60" s="63">
        <f t="shared" si="38"/>
        <v>2160510.7843261375</v>
      </c>
      <c r="L60" s="9">
        <f t="shared" si="38"/>
        <v>1707268.7519999999</v>
      </c>
      <c r="M60" s="37">
        <f t="shared" si="38"/>
        <v>2598920.7843261375</v>
      </c>
      <c r="N60" s="9">
        <f t="shared" si="38"/>
        <v>2434191.9300000002</v>
      </c>
      <c r="O60" s="37">
        <f t="shared" si="38"/>
        <v>3180630.7843261375</v>
      </c>
      <c r="P60" s="9">
        <f>P21-P59</f>
        <v>1127023.23</v>
      </c>
      <c r="Q60" s="37">
        <f>Q21-Q59</f>
        <v>10821185</v>
      </c>
      <c r="R60" s="9">
        <f>R21-R59</f>
        <v>7666202</v>
      </c>
      <c r="S60" s="37">
        <f t="shared" si="38"/>
        <v>17662379.807890147</v>
      </c>
      <c r="T60" s="9">
        <f t="shared" si="38"/>
        <v>13729327</v>
      </c>
      <c r="U60" s="63">
        <f t="shared" si="38"/>
        <v>3283505.7843261375</v>
      </c>
      <c r="V60" s="9">
        <f t="shared" si="38"/>
        <v>1549523.1550000003</v>
      </c>
      <c r="W60" s="37">
        <f t="shared" si="38"/>
        <v>4084740.7843261375</v>
      </c>
      <c r="X60" s="9">
        <f t="shared" si="38"/>
        <v>2297759.9040000001</v>
      </c>
      <c r="Y60" s="37">
        <f t="shared" si="38"/>
        <v>4421815.784326138</v>
      </c>
      <c r="Z60" s="9">
        <f t="shared" si="38"/>
        <v>1305945.8659999999</v>
      </c>
      <c r="AA60" s="37">
        <f>AA21-AA59</f>
        <v>14671185</v>
      </c>
      <c r="AB60" s="9">
        <f>AB21-AB59</f>
        <v>7547844</v>
      </c>
      <c r="AC60" s="63">
        <f t="shared" si="38"/>
        <v>5066555.784326138</v>
      </c>
      <c r="AD60" s="9">
        <f t="shared" si="38"/>
        <v>2073481.3859999999</v>
      </c>
      <c r="AE60" s="37">
        <f t="shared" si="38"/>
        <v>5197460.784326138</v>
      </c>
      <c r="AF60" s="9">
        <f t="shared" si="38"/>
        <v>981466.7379999999</v>
      </c>
      <c r="AG60" s="37">
        <f t="shared" si="38"/>
        <v>4304665.784326138</v>
      </c>
      <c r="AH60" s="9">
        <f t="shared" si="38"/>
        <v>1450755.1</v>
      </c>
      <c r="AI60" s="37">
        <f>AI21-AI59</f>
        <v>14568682.352978412</v>
      </c>
      <c r="AJ60" s="9">
        <f>AJ21-AJ59</f>
        <v>4505703.2239999995</v>
      </c>
      <c r="AK60" s="37">
        <f>AK21-AK59</f>
        <v>29239867.352978412</v>
      </c>
      <c r="AL60" s="9">
        <f>AL21-AL59</f>
        <v>12053547.223999999</v>
      </c>
      <c r="AM60" s="63">
        <f>AM21-AM59</f>
        <v>38490222.773722231</v>
      </c>
      <c r="AN60" s="9">
        <f>SUM(D60,F60,H60,L60,N60,P60,V60,X60,Z60,AD60,AF60,AH60)</f>
        <v>18588033.748000003</v>
      </c>
    </row>
    <row r="61" spans="1:40" s="16" customFormat="1" ht="20.25" customHeight="1" thickBot="1" x14ac:dyDescent="0.2">
      <c r="A61" s="210" t="s">
        <v>29</v>
      </c>
      <c r="B61" s="211"/>
      <c r="C61" s="38">
        <f>IF(C5=0,"        ― ",C60/C5)</f>
        <v>0.12708916353409722</v>
      </c>
      <c r="D61" s="10">
        <f t="shared" ref="D61:AM61" si="39">IF(D5=0,"        ― ",D60/D5)</f>
        <v>6.0609370161505305E-2</v>
      </c>
      <c r="E61" s="38">
        <f t="shared" si="39"/>
        <v>0.13250378659122514</v>
      </c>
      <c r="F61" s="10">
        <f t="shared" si="39"/>
        <v>9.5207446978050225E-2</v>
      </c>
      <c r="G61" s="38">
        <f t="shared" si="39"/>
        <v>0.10996331699440436</v>
      </c>
      <c r="H61" s="10">
        <f t="shared" si="39"/>
        <v>0.13893421436873016</v>
      </c>
      <c r="I61" s="38">
        <f t="shared" si="39"/>
        <v>0.19956810991511514</v>
      </c>
      <c r="J61" s="10">
        <f>IF(J5=0,"        ― ",J60/J5)</f>
        <v>0.16905864992930383</v>
      </c>
      <c r="K61" s="64">
        <f t="shared" si="39"/>
        <v>0.14251390397929667</v>
      </c>
      <c r="L61" s="10">
        <f t="shared" si="39"/>
        <v>0.1307727824021484</v>
      </c>
      <c r="M61" s="38">
        <f t="shared" si="39"/>
        <v>0.15433021284597015</v>
      </c>
      <c r="N61" s="10">
        <f t="shared" si="39"/>
        <v>0.15290705466567819</v>
      </c>
      <c r="O61" s="38">
        <f t="shared" si="39"/>
        <v>0.17174032312776119</v>
      </c>
      <c r="P61" s="10">
        <f t="shared" si="39"/>
        <v>8.0997287473283844E-2</v>
      </c>
      <c r="Q61" s="38">
        <f>IF(Q5=0,"        ― ",Q60/Q5)</f>
        <v>0.21419606096595409</v>
      </c>
      <c r="R61" s="10">
        <f>IF(R5=0,"        ― ",R60/R5)</f>
        <v>0.1787452419309993</v>
      </c>
      <c r="S61" s="38">
        <f t="shared" si="39"/>
        <v>0.20828278075342155</v>
      </c>
      <c r="T61" s="10">
        <f>IF(T5=0,"        ― ",T60/T5)</f>
        <v>0.17433397917524887</v>
      </c>
      <c r="U61" s="64">
        <f t="shared" si="39"/>
        <v>0.16483462772721574</v>
      </c>
      <c r="V61" s="10">
        <f t="shared" si="39"/>
        <v>0.10170594019451899</v>
      </c>
      <c r="W61" s="38">
        <f t="shared" si="39"/>
        <v>0.18668833566390025</v>
      </c>
      <c r="X61" s="10">
        <f t="shared" si="39"/>
        <v>0.15169530642781953</v>
      </c>
      <c r="Y61" s="38">
        <f t="shared" si="39"/>
        <v>0.19225286018809296</v>
      </c>
      <c r="Z61" s="10">
        <f t="shared" si="39"/>
        <v>8.7927597038454222E-2</v>
      </c>
      <c r="AA61" s="38">
        <f t="shared" si="39"/>
        <v>0.22640717592592594</v>
      </c>
      <c r="AB61" s="10">
        <f t="shared" si="39"/>
        <v>0.1668583285370889</v>
      </c>
      <c r="AC61" s="64">
        <f t="shared" si="39"/>
        <v>0.21005620996377022</v>
      </c>
      <c r="AD61" s="10">
        <f t="shared" si="39"/>
        <v>0.13413543524509258</v>
      </c>
      <c r="AE61" s="38">
        <f t="shared" si="39"/>
        <v>0.20823160193614335</v>
      </c>
      <c r="AF61" s="10">
        <f t="shared" si="39"/>
        <v>6.5579189304169519E-2</v>
      </c>
      <c r="AG61" s="38">
        <f t="shared" si="39"/>
        <v>0.16684751102039294</v>
      </c>
      <c r="AH61" s="10">
        <f t="shared" si="39"/>
        <v>0.10917690871533077</v>
      </c>
      <c r="AI61" s="38">
        <f t="shared" si="39"/>
        <v>0.19456039467118605</v>
      </c>
      <c r="AJ61" s="10">
        <f t="shared" si="39"/>
        <v>0.10307617840463527</v>
      </c>
      <c r="AK61" s="38">
        <f>IF(AK5=0,"        ― ",AK60/AK5)</f>
        <v>0.20933467463472516</v>
      </c>
      <c r="AL61" s="10">
        <f>IF(AL5=0,"        ― ",AL60/AL5)</f>
        <v>0.13551319403836021</v>
      </c>
      <c r="AM61" s="64">
        <f t="shared" si="39"/>
        <v>0.17146392896348106</v>
      </c>
      <c r="AN61" s="10">
        <f>IF(AN5=0,"        ― ",AN60/AN5)</f>
        <v>0.11084070745795667</v>
      </c>
    </row>
    <row r="62" spans="1:40" s="18" customFormat="1" ht="20.25" hidden="1" customHeight="1" thickBot="1" x14ac:dyDescent="0.2">
      <c r="A62" s="237" t="s">
        <v>58</v>
      </c>
      <c r="B62" s="238"/>
      <c r="C62" s="42"/>
      <c r="D62" s="17"/>
      <c r="E62" s="42"/>
      <c r="F62" s="17"/>
      <c r="G62" s="42"/>
      <c r="H62" s="17"/>
      <c r="I62" s="41"/>
      <c r="J62" s="15"/>
      <c r="K62" s="68"/>
      <c r="L62" s="17"/>
      <c r="M62" s="42"/>
      <c r="N62" s="17"/>
      <c r="O62" s="42"/>
      <c r="P62" s="17"/>
      <c r="Q62" s="41"/>
      <c r="R62" s="15"/>
      <c r="S62" s="41"/>
      <c r="T62" s="15"/>
      <c r="U62" s="68"/>
      <c r="V62" s="17"/>
      <c r="W62" s="42"/>
      <c r="X62" s="17"/>
      <c r="Y62" s="42"/>
      <c r="Z62" s="17"/>
      <c r="AA62" s="41"/>
      <c r="AB62" s="15"/>
      <c r="AC62" s="68"/>
      <c r="AD62" s="17"/>
      <c r="AE62" s="42"/>
      <c r="AF62" s="17"/>
      <c r="AG62" s="42"/>
      <c r="AH62" s="17"/>
      <c r="AI62" s="41"/>
      <c r="AJ62" s="15"/>
      <c r="AK62" s="41"/>
      <c r="AL62" s="15"/>
      <c r="AM62" s="67"/>
      <c r="AN62" s="15"/>
    </row>
    <row r="63" spans="1:40" s="18" customFormat="1" ht="20.25" customHeight="1" thickBot="1" x14ac:dyDescent="0.2">
      <c r="A63" s="239" t="s">
        <v>59</v>
      </c>
      <c r="B63" s="240"/>
      <c r="C63" s="42">
        <f>C5*0.04</f>
        <v>393600</v>
      </c>
      <c r="D63" s="17">
        <f t="shared" ref="D63:AM63" si="40">D5*0.04</f>
        <v>395655.08</v>
      </c>
      <c r="E63" s="42">
        <f t="shared" si="40"/>
        <v>449600</v>
      </c>
      <c r="F63" s="17">
        <f t="shared" si="40"/>
        <v>500730.36</v>
      </c>
      <c r="G63" s="42">
        <f t="shared" si="40"/>
        <v>528000</v>
      </c>
      <c r="H63" s="17">
        <f t="shared" si="40"/>
        <v>538175.88</v>
      </c>
      <c r="I63" s="41">
        <f t="shared" si="40"/>
        <v>1371200</v>
      </c>
      <c r="J63" s="15">
        <f>J5*0.04</f>
        <v>1434561.32</v>
      </c>
      <c r="K63" s="68">
        <f t="shared" si="40"/>
        <v>606400</v>
      </c>
      <c r="L63" s="17">
        <f t="shared" si="40"/>
        <v>522209.2</v>
      </c>
      <c r="M63" s="42">
        <f t="shared" si="40"/>
        <v>673600</v>
      </c>
      <c r="N63" s="17">
        <f t="shared" si="40"/>
        <v>636776.88</v>
      </c>
      <c r="O63" s="42">
        <f t="shared" si="40"/>
        <v>740800</v>
      </c>
      <c r="P63" s="17">
        <f t="shared" si="40"/>
        <v>556573.32000000007</v>
      </c>
      <c r="Q63" s="41">
        <f>Q5*0.04</f>
        <v>2020800</v>
      </c>
      <c r="R63" s="15">
        <f>R5*0.04</f>
        <v>1715559.4000000001</v>
      </c>
      <c r="S63" s="41">
        <f t="shared" si="40"/>
        <v>3392000</v>
      </c>
      <c r="T63" s="15">
        <f>T5*0.04</f>
        <v>3150120.72</v>
      </c>
      <c r="U63" s="68">
        <f t="shared" si="40"/>
        <v>796800</v>
      </c>
      <c r="V63" s="17">
        <f t="shared" si="40"/>
        <v>609413.04</v>
      </c>
      <c r="W63" s="42">
        <f t="shared" si="40"/>
        <v>875200</v>
      </c>
      <c r="X63" s="17">
        <f t="shared" si="40"/>
        <v>605888.20000000007</v>
      </c>
      <c r="Y63" s="42">
        <f t="shared" si="40"/>
        <v>920000</v>
      </c>
      <c r="Z63" s="17">
        <f t="shared" si="40"/>
        <v>594100.56000000006</v>
      </c>
      <c r="AA63" s="41">
        <f t="shared" si="40"/>
        <v>2592000</v>
      </c>
      <c r="AB63" s="15">
        <f t="shared" si="40"/>
        <v>1809401.8</v>
      </c>
      <c r="AC63" s="68">
        <f t="shared" si="40"/>
        <v>964800</v>
      </c>
      <c r="AD63" s="17">
        <f t="shared" si="40"/>
        <v>618324.72</v>
      </c>
      <c r="AE63" s="42">
        <f t="shared" si="40"/>
        <v>998400</v>
      </c>
      <c r="AF63" s="17">
        <f t="shared" si="40"/>
        <v>598645.24</v>
      </c>
      <c r="AG63" s="42">
        <f t="shared" si="40"/>
        <v>1032000</v>
      </c>
      <c r="AH63" s="17">
        <f t="shared" si="40"/>
        <v>531524.52</v>
      </c>
      <c r="AI63" s="41">
        <f t="shared" si="40"/>
        <v>2995200</v>
      </c>
      <c r="AJ63" s="15">
        <f t="shared" si="40"/>
        <v>1748494.48</v>
      </c>
      <c r="AK63" s="41">
        <f>AK5*0.04</f>
        <v>5587200</v>
      </c>
      <c r="AL63" s="15">
        <f>AL5*0.04</f>
        <v>3557896.2800000003</v>
      </c>
      <c r="AM63" s="67">
        <f t="shared" si="40"/>
        <v>8979200</v>
      </c>
      <c r="AN63" s="15">
        <f>AN5*0.04</f>
        <v>6708017</v>
      </c>
    </row>
    <row r="64" spans="1:40" ht="20.25" customHeight="1" x14ac:dyDescent="0.15">
      <c r="A64" s="218" t="s">
        <v>60</v>
      </c>
      <c r="B64" s="219"/>
      <c r="C64" s="37">
        <f>C60-C63+C62</f>
        <v>856957.36917551653</v>
      </c>
      <c r="D64" s="9">
        <f t="shared" ref="D64:AM64" si="41">D60-D63+D62</f>
        <v>203855.04999999987</v>
      </c>
      <c r="E64" s="37">
        <f t="shared" si="41"/>
        <v>1039742.5612853705</v>
      </c>
      <c r="F64" s="9">
        <f t="shared" si="41"/>
        <v>691101.12</v>
      </c>
      <c r="G64" s="37">
        <f t="shared" si="41"/>
        <v>923515.78432613751</v>
      </c>
      <c r="H64" s="9">
        <f t="shared" si="41"/>
        <v>1331100.1970000002</v>
      </c>
      <c r="I64" s="37">
        <f t="shared" si="41"/>
        <v>5469994.807890147</v>
      </c>
      <c r="J64" s="9">
        <f>J60-J63+J62</f>
        <v>4628563.68</v>
      </c>
      <c r="K64" s="63">
        <f t="shared" si="41"/>
        <v>1554110.7843261375</v>
      </c>
      <c r="L64" s="9">
        <f t="shared" si="41"/>
        <v>1185059.5519999999</v>
      </c>
      <c r="M64" s="37">
        <f t="shared" si="41"/>
        <v>1925320.7843261375</v>
      </c>
      <c r="N64" s="9">
        <f t="shared" si="41"/>
        <v>1797415.0500000003</v>
      </c>
      <c r="O64" s="37">
        <f t="shared" si="41"/>
        <v>2439830.7843261375</v>
      </c>
      <c r="P64" s="9">
        <f t="shared" si="41"/>
        <v>570449.90999999992</v>
      </c>
      <c r="Q64" s="37">
        <f>Q60-Q63+Q62</f>
        <v>8800385</v>
      </c>
      <c r="R64" s="9">
        <f>R60-R63+R62</f>
        <v>5950642.5999999996</v>
      </c>
      <c r="S64" s="37">
        <f t="shared" si="41"/>
        <v>14270379.807890147</v>
      </c>
      <c r="T64" s="9">
        <f>T60-T63+T62</f>
        <v>10579206.279999999</v>
      </c>
      <c r="U64" s="63">
        <f t="shared" si="41"/>
        <v>2486705.7843261375</v>
      </c>
      <c r="V64" s="9">
        <f t="shared" si="41"/>
        <v>940110.11500000022</v>
      </c>
      <c r="W64" s="37">
        <f t="shared" si="41"/>
        <v>3209540.7843261375</v>
      </c>
      <c r="X64" s="9">
        <f t="shared" si="41"/>
        <v>1691871.7039999999</v>
      </c>
      <c r="Y64" s="37">
        <f t="shared" si="41"/>
        <v>3501815.784326138</v>
      </c>
      <c r="Z64" s="9">
        <f t="shared" si="41"/>
        <v>711845.30599999987</v>
      </c>
      <c r="AA64" s="37">
        <f>AA60-AA63+AA62</f>
        <v>12079185</v>
      </c>
      <c r="AB64" s="9">
        <f>AB60-AB63+AB62</f>
        <v>5738442.2000000002</v>
      </c>
      <c r="AC64" s="63">
        <f t="shared" si="41"/>
        <v>4101755.784326138</v>
      </c>
      <c r="AD64" s="9">
        <f>AD60-AD63+AD62</f>
        <v>1455156.666</v>
      </c>
      <c r="AE64" s="37">
        <f t="shared" si="41"/>
        <v>4199060.784326138</v>
      </c>
      <c r="AF64" s="9">
        <f t="shared" si="41"/>
        <v>382821.49799999991</v>
      </c>
      <c r="AG64" s="37">
        <f t="shared" si="41"/>
        <v>3272665.784326138</v>
      </c>
      <c r="AH64" s="9">
        <f t="shared" si="41"/>
        <v>919230.58000000007</v>
      </c>
      <c r="AI64" s="37">
        <f>AI60-AI63+AI62</f>
        <v>11573482.352978412</v>
      </c>
      <c r="AJ64" s="9">
        <f>AJ60-AJ63+AJ62</f>
        <v>2757208.7439999995</v>
      </c>
      <c r="AK64" s="37">
        <f>AK60-AK63+AK62</f>
        <v>23652667.352978412</v>
      </c>
      <c r="AL64" s="9">
        <f>AL60-AL63+AL62</f>
        <v>8495650.9439999983</v>
      </c>
      <c r="AM64" s="63">
        <f t="shared" si="41"/>
        <v>29511022.773722231</v>
      </c>
      <c r="AN64" s="9">
        <f>AN60-AN63+AN62</f>
        <v>11880016.748000003</v>
      </c>
    </row>
    <row r="65" spans="1:40" s="16" customFormat="1" ht="20.25" customHeight="1" thickBot="1" x14ac:dyDescent="0.2">
      <c r="A65" s="210" t="s">
        <v>61</v>
      </c>
      <c r="B65" s="211"/>
      <c r="C65" s="38">
        <f>IF(C11=0,"        ― ",C64/C5)</f>
        <v>8.7089163534097208E-2</v>
      </c>
      <c r="D65" s="10">
        <f t="shared" ref="D65:AM65" si="42">IF(D11=0,"        ― ",D64/D5)</f>
        <v>2.0609370161505308E-2</v>
      </c>
      <c r="E65" s="38">
        <f t="shared" si="42"/>
        <v>9.2503786591225129E-2</v>
      </c>
      <c r="F65" s="10">
        <f t="shared" si="42"/>
        <v>5.5207446978050224E-2</v>
      </c>
      <c r="G65" s="38">
        <f t="shared" si="42"/>
        <v>6.9963316994404362E-2</v>
      </c>
      <c r="H65" s="10">
        <f t="shared" si="42"/>
        <v>9.8934214368730178E-2</v>
      </c>
      <c r="I65" s="38">
        <f t="shared" si="42"/>
        <v>0.15956810991511514</v>
      </c>
      <c r="J65" s="10">
        <f>IF(J11=0,"        ― ",J64/J5)</f>
        <v>0.12905864992930383</v>
      </c>
      <c r="K65" s="64">
        <f t="shared" si="42"/>
        <v>0.10251390397929667</v>
      </c>
      <c r="L65" s="10">
        <f t="shared" si="42"/>
        <v>9.0772782402148408E-2</v>
      </c>
      <c r="M65" s="38">
        <f t="shared" si="42"/>
        <v>0.11433021284597016</v>
      </c>
      <c r="N65" s="10">
        <f t="shared" si="42"/>
        <v>0.1129070546656782</v>
      </c>
      <c r="O65" s="38">
        <f t="shared" si="42"/>
        <v>0.13174032312776121</v>
      </c>
      <c r="P65" s="10">
        <f t="shared" si="42"/>
        <v>4.0997287473283836E-2</v>
      </c>
      <c r="Q65" s="38">
        <f>IF(Q11=0,"        ― ",Q64/Q5)</f>
        <v>0.17419606096595408</v>
      </c>
      <c r="R65" s="10">
        <f>IF(R11=0,"        ― ",R64/R5)</f>
        <v>0.1387452419309993</v>
      </c>
      <c r="S65" s="38">
        <f t="shared" si="42"/>
        <v>0.16828278075342154</v>
      </c>
      <c r="T65" s="10">
        <f>IF(T11=0,"        ― ",T64/T5)</f>
        <v>0.13433397917524886</v>
      </c>
      <c r="U65" s="64">
        <f t="shared" si="42"/>
        <v>0.12483462772721574</v>
      </c>
      <c r="V65" s="10">
        <f t="shared" si="42"/>
        <v>6.1705940194518992E-2</v>
      </c>
      <c r="W65" s="38">
        <f t="shared" si="42"/>
        <v>0.14668833566390024</v>
      </c>
      <c r="X65" s="10">
        <f t="shared" si="42"/>
        <v>0.11169530642781951</v>
      </c>
      <c r="Y65" s="38">
        <f t="shared" si="42"/>
        <v>0.15225286018809295</v>
      </c>
      <c r="Z65" s="10">
        <f t="shared" si="42"/>
        <v>4.7927597038454221E-2</v>
      </c>
      <c r="AA65" s="38">
        <f t="shared" si="42"/>
        <v>0.18640717592592593</v>
      </c>
      <c r="AB65" s="10">
        <f t="shared" si="42"/>
        <v>0.12685832853708889</v>
      </c>
      <c r="AC65" s="64">
        <f t="shared" si="42"/>
        <v>0.17005620996377024</v>
      </c>
      <c r="AD65" s="10">
        <f t="shared" si="42"/>
        <v>9.4135435245092575E-2</v>
      </c>
      <c r="AE65" s="38">
        <f t="shared" si="42"/>
        <v>0.16823160193614334</v>
      </c>
      <c r="AF65" s="10">
        <f t="shared" si="42"/>
        <v>2.5579189304169522E-2</v>
      </c>
      <c r="AG65" s="38">
        <f t="shared" si="42"/>
        <v>0.12684751102039293</v>
      </c>
      <c r="AH65" s="10">
        <f t="shared" si="42"/>
        <v>6.9176908715330762E-2</v>
      </c>
      <c r="AI65" s="38">
        <f t="shared" si="42"/>
        <v>0.15456039467118607</v>
      </c>
      <c r="AJ65" s="10">
        <f t="shared" si="42"/>
        <v>6.3076178404635266E-2</v>
      </c>
      <c r="AK65" s="38">
        <f>IF(AK11=0,"        ― ",AK64/AK5)</f>
        <v>0.16933467463472518</v>
      </c>
      <c r="AL65" s="10">
        <f>IF(AL11=0,"        ― ",AL64/AL5)</f>
        <v>9.55131940383602E-2</v>
      </c>
      <c r="AM65" s="64">
        <f t="shared" si="42"/>
        <v>0.13146392896348108</v>
      </c>
      <c r="AN65" s="10">
        <f>IF(AN11=0,"        ― ",AN64/AN5)</f>
        <v>7.0840707457956675E-2</v>
      </c>
    </row>
    <row r="66" spans="1:40" s="20" customFormat="1" ht="30" hidden="1" customHeight="1" thickBot="1" x14ac:dyDescent="0.2">
      <c r="A66" s="92" t="s">
        <v>62</v>
      </c>
      <c r="B66" s="93" t="s">
        <v>63</v>
      </c>
      <c r="C66" s="43"/>
      <c r="D66" s="19"/>
      <c r="E66" s="43"/>
      <c r="F66" s="19"/>
      <c r="G66" s="43"/>
      <c r="H66" s="55"/>
      <c r="I66" s="123"/>
      <c r="J66" s="124"/>
      <c r="K66" s="69"/>
      <c r="L66" s="19"/>
      <c r="M66" s="43"/>
      <c r="N66" s="19"/>
      <c r="O66" s="43"/>
      <c r="P66" s="55"/>
      <c r="Q66" s="123"/>
      <c r="R66" s="124"/>
      <c r="S66" s="180"/>
      <c r="T66" s="181"/>
      <c r="U66" s="69"/>
      <c r="V66" s="19"/>
      <c r="W66" s="43"/>
      <c r="X66" s="19"/>
      <c r="Y66" s="43"/>
      <c r="Z66" s="55"/>
      <c r="AA66" s="123"/>
      <c r="AB66" s="124"/>
      <c r="AC66" s="69"/>
      <c r="AD66" s="19"/>
      <c r="AE66" s="43"/>
      <c r="AF66" s="19"/>
      <c r="AG66" s="43"/>
      <c r="AH66" s="55"/>
      <c r="AI66" s="123"/>
      <c r="AJ66" s="124"/>
      <c r="AK66" s="125"/>
      <c r="AL66" s="126"/>
      <c r="AM66" s="131"/>
      <c r="AN66" s="132"/>
    </row>
  </sheetData>
  <mergeCells count="36">
    <mergeCell ref="C1:I1"/>
    <mergeCell ref="K1:S1"/>
    <mergeCell ref="U1:AA1"/>
    <mergeCell ref="AC1:AN1"/>
    <mergeCell ref="A2:B2"/>
    <mergeCell ref="A21:B21"/>
    <mergeCell ref="W3:X3"/>
    <mergeCell ref="Y3:Z3"/>
    <mergeCell ref="AA3:AB3"/>
    <mergeCell ref="AC3:AD3"/>
    <mergeCell ref="K3:L3"/>
    <mergeCell ref="M3:N3"/>
    <mergeCell ref="O3:P3"/>
    <mergeCell ref="Q3:R3"/>
    <mergeCell ref="S3:T3"/>
    <mergeCell ref="U3:V3"/>
    <mergeCell ref="A3:B3"/>
    <mergeCell ref="C3:D3"/>
    <mergeCell ref="E3:F3"/>
    <mergeCell ref="G3:H3"/>
    <mergeCell ref="I3:J3"/>
    <mergeCell ref="AI3:AJ3"/>
    <mergeCell ref="AK3:AL3"/>
    <mergeCell ref="AM3:AN3"/>
    <mergeCell ref="A4:B4"/>
    <mergeCell ref="A5:B5"/>
    <mergeCell ref="AE3:AF3"/>
    <mergeCell ref="AG3:AH3"/>
    <mergeCell ref="A64:B64"/>
    <mergeCell ref="A65:B65"/>
    <mergeCell ref="A22:B22"/>
    <mergeCell ref="A59:B59"/>
    <mergeCell ref="A60:B60"/>
    <mergeCell ref="A61:B61"/>
    <mergeCell ref="A62:B62"/>
    <mergeCell ref="A63:B63"/>
  </mergeCells>
  <phoneticPr fontId="3"/>
  <printOptions horizontalCentered="1"/>
  <pageMargins left="0.23622047244094491" right="0.23622047244094491" top="0.55118110236220474" bottom="0.15748031496062992" header="0.31496062992125984" footer="0.31496062992125984"/>
  <pageSetup paperSize="8" scale="52" orientation="landscape" r:id="rId1"/>
  <headerFooter alignWithMargins="0">
    <oddHeader xml:space="preserve">&amp;L&amp;D&amp;T&amp;C&amp;"ＭＳ Ｐゴシック,太字"&amp;20第22期　売上・粗利・経費　実績 計画&amp;R
</oddHeader>
    <oddFooter xml:space="preserve">&amp;R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N65"/>
  <sheetViews>
    <sheetView view="pageBreakPreview" zoomScale="70" zoomScaleNormal="70" zoomScaleSheetLayoutView="70" workbookViewId="0">
      <pane xSplit="2" ySplit="1" topLeftCell="L2" activePane="bottomRight" state="frozen"/>
      <selection activeCell="X29" sqref="X29"/>
      <selection pane="topRight" activeCell="X29" sqref="X29"/>
      <selection pane="bottomLeft" activeCell="X29" sqref="X29"/>
      <selection pane="bottomRight" sqref="A1:XFD1048576"/>
    </sheetView>
  </sheetViews>
  <sheetFormatPr defaultRowHeight="14.25" outlineLevelCol="2" x14ac:dyDescent="0.15"/>
  <cols>
    <col min="1" max="1" width="9" style="2" customWidth="1"/>
    <col min="2" max="2" width="18.625" style="2" customWidth="1"/>
    <col min="3" max="3" width="13.25" style="2" customWidth="1" outlineLevel="2"/>
    <col min="4" max="4" width="13.25" style="2" customWidth="1" outlineLevel="1"/>
    <col min="5" max="5" width="13.25" style="2" customWidth="1" outlineLevel="2"/>
    <col min="6" max="6" width="13.25" style="2" customWidth="1" outlineLevel="1"/>
    <col min="7" max="7" width="13.25" style="2" customWidth="1" outlineLevel="2"/>
    <col min="8" max="8" width="13.25" style="2" customWidth="1" outlineLevel="1"/>
    <col min="9" max="10" width="13.25" style="2" hidden="1" customWidth="1"/>
    <col min="11" max="11" width="13.25" style="2" customWidth="1" outlineLevel="2"/>
    <col min="12" max="12" width="13.25" style="2" customWidth="1" outlineLevel="1"/>
    <col min="13" max="13" width="13.25" style="2" customWidth="1" outlineLevel="2"/>
    <col min="14" max="14" width="13.25" style="2" customWidth="1" outlineLevel="1"/>
    <col min="15" max="15" width="13.25" style="2" customWidth="1" outlineLevel="2"/>
    <col min="16" max="16" width="13.25" style="2" customWidth="1" outlineLevel="1"/>
    <col min="17" max="20" width="13.25" style="2" hidden="1" customWidth="1"/>
    <col min="21" max="21" width="13.25" style="2" customWidth="1" outlineLevel="2"/>
    <col min="22" max="22" width="13.25" style="2" customWidth="1" outlineLevel="1"/>
    <col min="23" max="23" width="13.25" style="2" customWidth="1" outlineLevel="2"/>
    <col min="24" max="24" width="13.25" style="2" customWidth="1" outlineLevel="1"/>
    <col min="25" max="25" width="13.25" style="2" customWidth="1" outlineLevel="2"/>
    <col min="26" max="26" width="13.25" style="2" customWidth="1" outlineLevel="1"/>
    <col min="27" max="28" width="13.25" style="2" hidden="1" customWidth="1"/>
    <col min="29" max="29" width="13.25" style="2" customWidth="1" outlineLevel="2"/>
    <col min="30" max="30" width="13.25" style="2" customWidth="1" outlineLevel="1"/>
    <col min="31" max="31" width="13.25" style="2" customWidth="1" outlineLevel="2"/>
    <col min="32" max="32" width="13.25" style="2" customWidth="1" outlineLevel="1"/>
    <col min="33" max="33" width="13.25" style="2" customWidth="1" outlineLevel="2"/>
    <col min="34" max="34" width="13.25" style="2" customWidth="1" outlineLevel="1"/>
    <col min="35" max="38" width="13.25" style="2" hidden="1" customWidth="1"/>
    <col min="39" max="40" width="13.25" style="2" customWidth="1"/>
    <col min="41" max="274" width="9" style="2"/>
    <col min="275" max="275" width="9" style="2" customWidth="1"/>
    <col min="276" max="276" width="18.625" style="2" customWidth="1"/>
    <col min="277" max="277" width="0" style="2" hidden="1" customWidth="1"/>
    <col min="278" max="296" width="13.25" style="2" customWidth="1"/>
    <col min="297" max="530" width="9" style="2"/>
    <col min="531" max="531" width="9" style="2" customWidth="1"/>
    <col min="532" max="532" width="18.625" style="2" customWidth="1"/>
    <col min="533" max="533" width="0" style="2" hidden="1" customWidth="1"/>
    <col min="534" max="552" width="13.25" style="2" customWidth="1"/>
    <col min="553" max="786" width="9" style="2"/>
    <col min="787" max="787" width="9" style="2" customWidth="1"/>
    <col min="788" max="788" width="18.625" style="2" customWidth="1"/>
    <col min="789" max="789" width="0" style="2" hidden="1" customWidth="1"/>
    <col min="790" max="808" width="13.25" style="2" customWidth="1"/>
    <col min="809" max="1042" width="9" style="2"/>
    <col min="1043" max="1043" width="9" style="2" customWidth="1"/>
    <col min="1044" max="1044" width="18.625" style="2" customWidth="1"/>
    <col min="1045" max="1045" width="0" style="2" hidden="1" customWidth="1"/>
    <col min="1046" max="1064" width="13.25" style="2" customWidth="1"/>
    <col min="1065" max="1298" width="9" style="2"/>
    <col min="1299" max="1299" width="9" style="2" customWidth="1"/>
    <col min="1300" max="1300" width="18.625" style="2" customWidth="1"/>
    <col min="1301" max="1301" width="0" style="2" hidden="1" customWidth="1"/>
    <col min="1302" max="1320" width="13.25" style="2" customWidth="1"/>
    <col min="1321" max="1554" width="9" style="2"/>
    <col min="1555" max="1555" width="9" style="2" customWidth="1"/>
    <col min="1556" max="1556" width="18.625" style="2" customWidth="1"/>
    <col min="1557" max="1557" width="0" style="2" hidden="1" customWidth="1"/>
    <col min="1558" max="1576" width="13.25" style="2" customWidth="1"/>
    <col min="1577" max="1810" width="9" style="2"/>
    <col min="1811" max="1811" width="9" style="2" customWidth="1"/>
    <col min="1812" max="1812" width="18.625" style="2" customWidth="1"/>
    <col min="1813" max="1813" width="0" style="2" hidden="1" customWidth="1"/>
    <col min="1814" max="1832" width="13.25" style="2" customWidth="1"/>
    <col min="1833" max="2066" width="9" style="2"/>
    <col min="2067" max="2067" width="9" style="2" customWidth="1"/>
    <col min="2068" max="2068" width="18.625" style="2" customWidth="1"/>
    <col min="2069" max="2069" width="0" style="2" hidden="1" customWidth="1"/>
    <col min="2070" max="2088" width="13.25" style="2" customWidth="1"/>
    <col min="2089" max="2322" width="9" style="2"/>
    <col min="2323" max="2323" width="9" style="2" customWidth="1"/>
    <col min="2324" max="2324" width="18.625" style="2" customWidth="1"/>
    <col min="2325" max="2325" width="0" style="2" hidden="1" customWidth="1"/>
    <col min="2326" max="2344" width="13.25" style="2" customWidth="1"/>
    <col min="2345" max="2578" width="9" style="2"/>
    <col min="2579" max="2579" width="9" style="2" customWidth="1"/>
    <col min="2580" max="2580" width="18.625" style="2" customWidth="1"/>
    <col min="2581" max="2581" width="0" style="2" hidden="1" customWidth="1"/>
    <col min="2582" max="2600" width="13.25" style="2" customWidth="1"/>
    <col min="2601" max="2834" width="9" style="2"/>
    <col min="2835" max="2835" width="9" style="2" customWidth="1"/>
    <col min="2836" max="2836" width="18.625" style="2" customWidth="1"/>
    <col min="2837" max="2837" width="0" style="2" hidden="1" customWidth="1"/>
    <col min="2838" max="2856" width="13.25" style="2" customWidth="1"/>
    <col min="2857" max="3090" width="9" style="2"/>
    <col min="3091" max="3091" width="9" style="2" customWidth="1"/>
    <col min="3092" max="3092" width="18.625" style="2" customWidth="1"/>
    <col min="3093" max="3093" width="0" style="2" hidden="1" customWidth="1"/>
    <col min="3094" max="3112" width="13.25" style="2" customWidth="1"/>
    <col min="3113" max="3346" width="9" style="2"/>
    <col min="3347" max="3347" width="9" style="2" customWidth="1"/>
    <col min="3348" max="3348" width="18.625" style="2" customWidth="1"/>
    <col min="3349" max="3349" width="0" style="2" hidden="1" customWidth="1"/>
    <col min="3350" max="3368" width="13.25" style="2" customWidth="1"/>
    <col min="3369" max="3602" width="9" style="2"/>
    <col min="3603" max="3603" width="9" style="2" customWidth="1"/>
    <col min="3604" max="3604" width="18.625" style="2" customWidth="1"/>
    <col min="3605" max="3605" width="0" style="2" hidden="1" customWidth="1"/>
    <col min="3606" max="3624" width="13.25" style="2" customWidth="1"/>
    <col min="3625" max="3858" width="9" style="2"/>
    <col min="3859" max="3859" width="9" style="2" customWidth="1"/>
    <col min="3860" max="3860" width="18.625" style="2" customWidth="1"/>
    <col min="3861" max="3861" width="0" style="2" hidden="1" customWidth="1"/>
    <col min="3862" max="3880" width="13.25" style="2" customWidth="1"/>
    <col min="3881" max="4114" width="9" style="2"/>
    <col min="4115" max="4115" width="9" style="2" customWidth="1"/>
    <col min="4116" max="4116" width="18.625" style="2" customWidth="1"/>
    <col min="4117" max="4117" width="0" style="2" hidden="1" customWidth="1"/>
    <col min="4118" max="4136" width="13.25" style="2" customWidth="1"/>
    <col min="4137" max="4370" width="9" style="2"/>
    <col min="4371" max="4371" width="9" style="2" customWidth="1"/>
    <col min="4372" max="4372" width="18.625" style="2" customWidth="1"/>
    <col min="4373" max="4373" width="0" style="2" hidden="1" customWidth="1"/>
    <col min="4374" max="4392" width="13.25" style="2" customWidth="1"/>
    <col min="4393" max="4626" width="9" style="2"/>
    <col min="4627" max="4627" width="9" style="2" customWidth="1"/>
    <col min="4628" max="4628" width="18.625" style="2" customWidth="1"/>
    <col min="4629" max="4629" width="0" style="2" hidden="1" customWidth="1"/>
    <col min="4630" max="4648" width="13.25" style="2" customWidth="1"/>
    <col min="4649" max="4882" width="9" style="2"/>
    <col min="4883" max="4883" width="9" style="2" customWidth="1"/>
    <col min="4884" max="4884" width="18.625" style="2" customWidth="1"/>
    <col min="4885" max="4885" width="0" style="2" hidden="1" customWidth="1"/>
    <col min="4886" max="4904" width="13.25" style="2" customWidth="1"/>
    <col min="4905" max="5138" width="9" style="2"/>
    <col min="5139" max="5139" width="9" style="2" customWidth="1"/>
    <col min="5140" max="5140" width="18.625" style="2" customWidth="1"/>
    <col min="5141" max="5141" width="0" style="2" hidden="1" customWidth="1"/>
    <col min="5142" max="5160" width="13.25" style="2" customWidth="1"/>
    <col min="5161" max="5394" width="9" style="2"/>
    <col min="5395" max="5395" width="9" style="2" customWidth="1"/>
    <col min="5396" max="5396" width="18.625" style="2" customWidth="1"/>
    <col min="5397" max="5397" width="0" style="2" hidden="1" customWidth="1"/>
    <col min="5398" max="5416" width="13.25" style="2" customWidth="1"/>
    <col min="5417" max="5650" width="9" style="2"/>
    <col min="5651" max="5651" width="9" style="2" customWidth="1"/>
    <col min="5652" max="5652" width="18.625" style="2" customWidth="1"/>
    <col min="5653" max="5653" width="0" style="2" hidden="1" customWidth="1"/>
    <col min="5654" max="5672" width="13.25" style="2" customWidth="1"/>
    <col min="5673" max="5906" width="9" style="2"/>
    <col min="5907" max="5907" width="9" style="2" customWidth="1"/>
    <col min="5908" max="5908" width="18.625" style="2" customWidth="1"/>
    <col min="5909" max="5909" width="0" style="2" hidden="1" customWidth="1"/>
    <col min="5910" max="5928" width="13.25" style="2" customWidth="1"/>
    <col min="5929" max="6162" width="9" style="2"/>
    <col min="6163" max="6163" width="9" style="2" customWidth="1"/>
    <col min="6164" max="6164" width="18.625" style="2" customWidth="1"/>
    <col min="6165" max="6165" width="0" style="2" hidden="1" customWidth="1"/>
    <col min="6166" max="6184" width="13.25" style="2" customWidth="1"/>
    <col min="6185" max="6418" width="9" style="2"/>
    <col min="6419" max="6419" width="9" style="2" customWidth="1"/>
    <col min="6420" max="6420" width="18.625" style="2" customWidth="1"/>
    <col min="6421" max="6421" width="0" style="2" hidden="1" customWidth="1"/>
    <col min="6422" max="6440" width="13.25" style="2" customWidth="1"/>
    <col min="6441" max="6674" width="9" style="2"/>
    <col min="6675" max="6675" width="9" style="2" customWidth="1"/>
    <col min="6676" max="6676" width="18.625" style="2" customWidth="1"/>
    <col min="6677" max="6677" width="0" style="2" hidden="1" customWidth="1"/>
    <col min="6678" max="6696" width="13.25" style="2" customWidth="1"/>
    <col min="6697" max="6930" width="9" style="2"/>
    <col min="6931" max="6931" width="9" style="2" customWidth="1"/>
    <col min="6932" max="6932" width="18.625" style="2" customWidth="1"/>
    <col min="6933" max="6933" width="0" style="2" hidden="1" customWidth="1"/>
    <col min="6934" max="6952" width="13.25" style="2" customWidth="1"/>
    <col min="6953" max="7186" width="9" style="2"/>
    <col min="7187" max="7187" width="9" style="2" customWidth="1"/>
    <col min="7188" max="7188" width="18.625" style="2" customWidth="1"/>
    <col min="7189" max="7189" width="0" style="2" hidden="1" customWidth="1"/>
    <col min="7190" max="7208" width="13.25" style="2" customWidth="1"/>
    <col min="7209" max="7442" width="9" style="2"/>
    <col min="7443" max="7443" width="9" style="2" customWidth="1"/>
    <col min="7444" max="7444" width="18.625" style="2" customWidth="1"/>
    <col min="7445" max="7445" width="0" style="2" hidden="1" customWidth="1"/>
    <col min="7446" max="7464" width="13.25" style="2" customWidth="1"/>
    <col min="7465" max="7698" width="9" style="2"/>
    <col min="7699" max="7699" width="9" style="2" customWidth="1"/>
    <col min="7700" max="7700" width="18.625" style="2" customWidth="1"/>
    <col min="7701" max="7701" width="0" style="2" hidden="1" customWidth="1"/>
    <col min="7702" max="7720" width="13.25" style="2" customWidth="1"/>
    <col min="7721" max="7954" width="9" style="2"/>
    <col min="7955" max="7955" width="9" style="2" customWidth="1"/>
    <col min="7956" max="7956" width="18.625" style="2" customWidth="1"/>
    <col min="7957" max="7957" width="0" style="2" hidden="1" customWidth="1"/>
    <col min="7958" max="7976" width="13.25" style="2" customWidth="1"/>
    <col min="7977" max="8210" width="9" style="2"/>
    <col min="8211" max="8211" width="9" style="2" customWidth="1"/>
    <col min="8212" max="8212" width="18.625" style="2" customWidth="1"/>
    <col min="8213" max="8213" width="0" style="2" hidden="1" customWidth="1"/>
    <col min="8214" max="8232" width="13.25" style="2" customWidth="1"/>
    <col min="8233" max="8466" width="9" style="2"/>
    <col min="8467" max="8467" width="9" style="2" customWidth="1"/>
    <col min="8468" max="8468" width="18.625" style="2" customWidth="1"/>
    <col min="8469" max="8469" width="0" style="2" hidden="1" customWidth="1"/>
    <col min="8470" max="8488" width="13.25" style="2" customWidth="1"/>
    <col min="8489" max="8722" width="9" style="2"/>
    <col min="8723" max="8723" width="9" style="2" customWidth="1"/>
    <col min="8724" max="8724" width="18.625" style="2" customWidth="1"/>
    <col min="8725" max="8725" width="0" style="2" hidden="1" customWidth="1"/>
    <col min="8726" max="8744" width="13.25" style="2" customWidth="1"/>
    <col min="8745" max="8978" width="9" style="2"/>
    <col min="8979" max="8979" width="9" style="2" customWidth="1"/>
    <col min="8980" max="8980" width="18.625" style="2" customWidth="1"/>
    <col min="8981" max="8981" width="0" style="2" hidden="1" customWidth="1"/>
    <col min="8982" max="9000" width="13.25" style="2" customWidth="1"/>
    <col min="9001" max="9234" width="9" style="2"/>
    <col min="9235" max="9235" width="9" style="2" customWidth="1"/>
    <col min="9236" max="9236" width="18.625" style="2" customWidth="1"/>
    <col min="9237" max="9237" width="0" style="2" hidden="1" customWidth="1"/>
    <col min="9238" max="9256" width="13.25" style="2" customWidth="1"/>
    <col min="9257" max="9490" width="9" style="2"/>
    <col min="9491" max="9491" width="9" style="2" customWidth="1"/>
    <col min="9492" max="9492" width="18.625" style="2" customWidth="1"/>
    <col min="9493" max="9493" width="0" style="2" hidden="1" customWidth="1"/>
    <col min="9494" max="9512" width="13.25" style="2" customWidth="1"/>
    <col min="9513" max="9746" width="9" style="2"/>
    <col min="9747" max="9747" width="9" style="2" customWidth="1"/>
    <col min="9748" max="9748" width="18.625" style="2" customWidth="1"/>
    <col min="9749" max="9749" width="0" style="2" hidden="1" customWidth="1"/>
    <col min="9750" max="9768" width="13.25" style="2" customWidth="1"/>
    <col min="9769" max="10002" width="9" style="2"/>
    <col min="10003" max="10003" width="9" style="2" customWidth="1"/>
    <col min="10004" max="10004" width="18.625" style="2" customWidth="1"/>
    <col min="10005" max="10005" width="0" style="2" hidden="1" customWidth="1"/>
    <col min="10006" max="10024" width="13.25" style="2" customWidth="1"/>
    <col min="10025" max="10258" width="9" style="2"/>
    <col min="10259" max="10259" width="9" style="2" customWidth="1"/>
    <col min="10260" max="10260" width="18.625" style="2" customWidth="1"/>
    <col min="10261" max="10261" width="0" style="2" hidden="1" customWidth="1"/>
    <col min="10262" max="10280" width="13.25" style="2" customWidth="1"/>
    <col min="10281" max="10514" width="9" style="2"/>
    <col min="10515" max="10515" width="9" style="2" customWidth="1"/>
    <col min="10516" max="10516" width="18.625" style="2" customWidth="1"/>
    <col min="10517" max="10517" width="0" style="2" hidden="1" customWidth="1"/>
    <col min="10518" max="10536" width="13.25" style="2" customWidth="1"/>
    <col min="10537" max="10770" width="9" style="2"/>
    <col min="10771" max="10771" width="9" style="2" customWidth="1"/>
    <col min="10772" max="10772" width="18.625" style="2" customWidth="1"/>
    <col min="10773" max="10773" width="0" style="2" hidden="1" customWidth="1"/>
    <col min="10774" max="10792" width="13.25" style="2" customWidth="1"/>
    <col min="10793" max="11026" width="9" style="2"/>
    <col min="11027" max="11027" width="9" style="2" customWidth="1"/>
    <col min="11028" max="11028" width="18.625" style="2" customWidth="1"/>
    <col min="11029" max="11029" width="0" style="2" hidden="1" customWidth="1"/>
    <col min="11030" max="11048" width="13.25" style="2" customWidth="1"/>
    <col min="11049" max="11282" width="9" style="2"/>
    <col min="11283" max="11283" width="9" style="2" customWidth="1"/>
    <col min="11284" max="11284" width="18.625" style="2" customWidth="1"/>
    <col min="11285" max="11285" width="0" style="2" hidden="1" customWidth="1"/>
    <col min="11286" max="11304" width="13.25" style="2" customWidth="1"/>
    <col min="11305" max="11538" width="9" style="2"/>
    <col min="11539" max="11539" width="9" style="2" customWidth="1"/>
    <col min="11540" max="11540" width="18.625" style="2" customWidth="1"/>
    <col min="11541" max="11541" width="0" style="2" hidden="1" customWidth="1"/>
    <col min="11542" max="11560" width="13.25" style="2" customWidth="1"/>
    <col min="11561" max="11794" width="9" style="2"/>
    <col min="11795" max="11795" width="9" style="2" customWidth="1"/>
    <col min="11796" max="11796" width="18.625" style="2" customWidth="1"/>
    <col min="11797" max="11797" width="0" style="2" hidden="1" customWidth="1"/>
    <col min="11798" max="11816" width="13.25" style="2" customWidth="1"/>
    <col min="11817" max="12050" width="9" style="2"/>
    <col min="12051" max="12051" width="9" style="2" customWidth="1"/>
    <col min="12052" max="12052" width="18.625" style="2" customWidth="1"/>
    <col min="12053" max="12053" width="0" style="2" hidden="1" customWidth="1"/>
    <col min="12054" max="12072" width="13.25" style="2" customWidth="1"/>
    <col min="12073" max="12306" width="9" style="2"/>
    <col min="12307" max="12307" width="9" style="2" customWidth="1"/>
    <col min="12308" max="12308" width="18.625" style="2" customWidth="1"/>
    <col min="12309" max="12309" width="0" style="2" hidden="1" customWidth="1"/>
    <col min="12310" max="12328" width="13.25" style="2" customWidth="1"/>
    <col min="12329" max="12562" width="9" style="2"/>
    <col min="12563" max="12563" width="9" style="2" customWidth="1"/>
    <col min="12564" max="12564" width="18.625" style="2" customWidth="1"/>
    <col min="12565" max="12565" width="0" style="2" hidden="1" customWidth="1"/>
    <col min="12566" max="12584" width="13.25" style="2" customWidth="1"/>
    <col min="12585" max="12818" width="9" style="2"/>
    <col min="12819" max="12819" width="9" style="2" customWidth="1"/>
    <col min="12820" max="12820" width="18.625" style="2" customWidth="1"/>
    <col min="12821" max="12821" width="0" style="2" hidden="1" customWidth="1"/>
    <col min="12822" max="12840" width="13.25" style="2" customWidth="1"/>
    <col min="12841" max="13074" width="9" style="2"/>
    <col min="13075" max="13075" width="9" style="2" customWidth="1"/>
    <col min="13076" max="13076" width="18.625" style="2" customWidth="1"/>
    <col min="13077" max="13077" width="0" style="2" hidden="1" customWidth="1"/>
    <col min="13078" max="13096" width="13.25" style="2" customWidth="1"/>
    <col min="13097" max="13330" width="9" style="2"/>
    <col min="13331" max="13331" width="9" style="2" customWidth="1"/>
    <col min="13332" max="13332" width="18.625" style="2" customWidth="1"/>
    <col min="13333" max="13333" width="0" style="2" hidden="1" customWidth="1"/>
    <col min="13334" max="13352" width="13.25" style="2" customWidth="1"/>
    <col min="13353" max="13586" width="9" style="2"/>
    <col min="13587" max="13587" width="9" style="2" customWidth="1"/>
    <col min="13588" max="13588" width="18.625" style="2" customWidth="1"/>
    <col min="13589" max="13589" width="0" style="2" hidden="1" customWidth="1"/>
    <col min="13590" max="13608" width="13.25" style="2" customWidth="1"/>
    <col min="13609" max="13842" width="9" style="2"/>
    <col min="13843" max="13843" width="9" style="2" customWidth="1"/>
    <col min="13844" max="13844" width="18.625" style="2" customWidth="1"/>
    <col min="13845" max="13845" width="0" style="2" hidden="1" customWidth="1"/>
    <col min="13846" max="13864" width="13.25" style="2" customWidth="1"/>
    <col min="13865" max="14098" width="9" style="2"/>
    <col min="14099" max="14099" width="9" style="2" customWidth="1"/>
    <col min="14100" max="14100" width="18.625" style="2" customWidth="1"/>
    <col min="14101" max="14101" width="0" style="2" hidden="1" customWidth="1"/>
    <col min="14102" max="14120" width="13.25" style="2" customWidth="1"/>
    <col min="14121" max="14354" width="9" style="2"/>
    <col min="14355" max="14355" width="9" style="2" customWidth="1"/>
    <col min="14356" max="14356" width="18.625" style="2" customWidth="1"/>
    <col min="14357" max="14357" width="0" style="2" hidden="1" customWidth="1"/>
    <col min="14358" max="14376" width="13.25" style="2" customWidth="1"/>
    <col min="14377" max="14610" width="9" style="2"/>
    <col min="14611" max="14611" width="9" style="2" customWidth="1"/>
    <col min="14612" max="14612" width="18.625" style="2" customWidth="1"/>
    <col min="14613" max="14613" width="0" style="2" hidden="1" customWidth="1"/>
    <col min="14614" max="14632" width="13.25" style="2" customWidth="1"/>
    <col min="14633" max="14866" width="9" style="2"/>
    <col min="14867" max="14867" width="9" style="2" customWidth="1"/>
    <col min="14868" max="14868" width="18.625" style="2" customWidth="1"/>
    <col min="14869" max="14869" width="0" style="2" hidden="1" customWidth="1"/>
    <col min="14870" max="14888" width="13.25" style="2" customWidth="1"/>
    <col min="14889" max="15122" width="9" style="2"/>
    <col min="15123" max="15123" width="9" style="2" customWidth="1"/>
    <col min="15124" max="15124" width="18.625" style="2" customWidth="1"/>
    <col min="15125" max="15125" width="0" style="2" hidden="1" customWidth="1"/>
    <col min="15126" max="15144" width="13.25" style="2" customWidth="1"/>
    <col min="15145" max="15378" width="9" style="2"/>
    <col min="15379" max="15379" width="9" style="2" customWidth="1"/>
    <col min="15380" max="15380" width="18.625" style="2" customWidth="1"/>
    <col min="15381" max="15381" width="0" style="2" hidden="1" customWidth="1"/>
    <col min="15382" max="15400" width="13.25" style="2" customWidth="1"/>
    <col min="15401" max="15634" width="9" style="2"/>
    <col min="15635" max="15635" width="9" style="2" customWidth="1"/>
    <col min="15636" max="15636" width="18.625" style="2" customWidth="1"/>
    <col min="15637" max="15637" width="0" style="2" hidden="1" customWidth="1"/>
    <col min="15638" max="15656" width="13.25" style="2" customWidth="1"/>
    <col min="15657" max="15890" width="9" style="2"/>
    <col min="15891" max="15891" width="9" style="2" customWidth="1"/>
    <col min="15892" max="15892" width="18.625" style="2" customWidth="1"/>
    <col min="15893" max="15893" width="0" style="2" hidden="1" customWidth="1"/>
    <col min="15894" max="15912" width="13.25" style="2" customWidth="1"/>
    <col min="15913" max="16146" width="9" style="2"/>
    <col min="16147" max="16147" width="9" style="2" customWidth="1"/>
    <col min="16148" max="16148" width="18.625" style="2" customWidth="1"/>
    <col min="16149" max="16149" width="0" style="2" hidden="1" customWidth="1"/>
    <col min="16150" max="16168" width="13.25" style="2" customWidth="1"/>
    <col min="16169" max="16384" width="9" style="2"/>
  </cols>
  <sheetData>
    <row r="1" spans="1:40" ht="21" x14ac:dyDescent="0.2">
      <c r="A1" s="1"/>
      <c r="B1" s="1"/>
      <c r="C1" s="235"/>
      <c r="D1" s="235"/>
      <c r="E1" s="235"/>
      <c r="F1" s="235"/>
      <c r="G1" s="235"/>
      <c r="H1" s="235"/>
      <c r="I1" s="235"/>
      <c r="J1" s="95"/>
      <c r="K1" s="235"/>
      <c r="L1" s="235"/>
      <c r="M1" s="235"/>
      <c r="N1" s="235"/>
      <c r="O1" s="235"/>
      <c r="P1" s="235"/>
      <c r="Q1" s="235"/>
      <c r="R1" s="235"/>
      <c r="S1" s="235"/>
      <c r="T1" s="95"/>
      <c r="U1" s="235"/>
      <c r="V1" s="235"/>
      <c r="W1" s="235"/>
      <c r="X1" s="235"/>
      <c r="Y1" s="235"/>
      <c r="Z1" s="235"/>
      <c r="AA1" s="235"/>
      <c r="AB1" s="9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</row>
    <row r="2" spans="1:40" ht="19.5" thickBot="1" x14ac:dyDescent="0.2">
      <c r="A2" s="236" t="s">
        <v>209</v>
      </c>
      <c r="B2" s="236"/>
    </row>
    <row r="3" spans="1:40" ht="21" customHeight="1" thickTop="1" thickBot="1" x14ac:dyDescent="0.2">
      <c r="A3" s="220" t="s">
        <v>0</v>
      </c>
      <c r="B3" s="221"/>
      <c r="C3" s="222" t="s">
        <v>1</v>
      </c>
      <c r="D3" s="223"/>
      <c r="E3" s="222" t="s">
        <v>2</v>
      </c>
      <c r="F3" s="223"/>
      <c r="G3" s="222" t="s">
        <v>3</v>
      </c>
      <c r="H3" s="234"/>
      <c r="I3" s="224" t="s">
        <v>4</v>
      </c>
      <c r="J3" s="225"/>
      <c r="K3" s="222" t="s">
        <v>5</v>
      </c>
      <c r="L3" s="223"/>
      <c r="M3" s="222" t="s">
        <v>6</v>
      </c>
      <c r="N3" s="223"/>
      <c r="O3" s="222" t="s">
        <v>7</v>
      </c>
      <c r="P3" s="234"/>
      <c r="Q3" s="216" t="s">
        <v>8</v>
      </c>
      <c r="R3" s="217"/>
      <c r="S3" s="226" t="s">
        <v>9</v>
      </c>
      <c r="T3" s="227"/>
      <c r="U3" s="222" t="s">
        <v>10</v>
      </c>
      <c r="V3" s="223"/>
      <c r="W3" s="222" t="s">
        <v>11</v>
      </c>
      <c r="X3" s="223"/>
      <c r="Y3" s="222" t="s">
        <v>12</v>
      </c>
      <c r="Z3" s="234"/>
      <c r="AA3" s="216" t="s">
        <v>13</v>
      </c>
      <c r="AB3" s="217"/>
      <c r="AC3" s="222" t="s">
        <v>14</v>
      </c>
      <c r="AD3" s="223"/>
      <c r="AE3" s="222" t="s">
        <v>15</v>
      </c>
      <c r="AF3" s="223"/>
      <c r="AG3" s="222" t="s">
        <v>16</v>
      </c>
      <c r="AH3" s="234"/>
      <c r="AI3" s="216" t="s">
        <v>17</v>
      </c>
      <c r="AJ3" s="217"/>
      <c r="AK3" s="226" t="s">
        <v>18</v>
      </c>
      <c r="AL3" s="227"/>
      <c r="AM3" s="241" t="s">
        <v>19</v>
      </c>
      <c r="AN3" s="229"/>
    </row>
    <row r="4" spans="1:40" ht="21" customHeight="1" thickTop="1" thickBot="1" x14ac:dyDescent="0.2">
      <c r="A4" s="230" t="s">
        <v>0</v>
      </c>
      <c r="B4" s="231"/>
      <c r="C4" s="30" t="s">
        <v>20</v>
      </c>
      <c r="D4" s="94" t="s">
        <v>83</v>
      </c>
      <c r="E4" s="30" t="s">
        <v>20</v>
      </c>
      <c r="F4" s="94" t="s">
        <v>83</v>
      </c>
      <c r="G4" s="30" t="s">
        <v>20</v>
      </c>
      <c r="H4" s="45" t="s">
        <v>83</v>
      </c>
      <c r="I4" s="30" t="s">
        <v>20</v>
      </c>
      <c r="J4" s="183" t="s">
        <v>83</v>
      </c>
      <c r="K4" s="30" t="s">
        <v>20</v>
      </c>
      <c r="L4" s="94" t="s">
        <v>83</v>
      </c>
      <c r="M4" s="30" t="s">
        <v>20</v>
      </c>
      <c r="N4" s="94" t="s">
        <v>83</v>
      </c>
      <c r="O4" s="30" t="s">
        <v>20</v>
      </c>
      <c r="P4" s="45" t="s">
        <v>83</v>
      </c>
      <c r="Q4" s="30" t="s">
        <v>20</v>
      </c>
      <c r="R4" s="94" t="s">
        <v>83</v>
      </c>
      <c r="S4" s="200" t="s">
        <v>20</v>
      </c>
      <c r="T4" s="183" t="s">
        <v>83</v>
      </c>
      <c r="U4" s="30" t="s">
        <v>20</v>
      </c>
      <c r="V4" s="94" t="s">
        <v>83</v>
      </c>
      <c r="W4" s="30" t="s">
        <v>20</v>
      </c>
      <c r="X4" s="94" t="s">
        <v>83</v>
      </c>
      <c r="Y4" s="30" t="s">
        <v>20</v>
      </c>
      <c r="Z4" s="45" t="s">
        <v>83</v>
      </c>
      <c r="AA4" s="200" t="s">
        <v>20</v>
      </c>
      <c r="AB4" s="183" t="s">
        <v>83</v>
      </c>
      <c r="AC4" s="30" t="s">
        <v>20</v>
      </c>
      <c r="AD4" s="94" t="s">
        <v>83</v>
      </c>
      <c r="AE4" s="30" t="s">
        <v>20</v>
      </c>
      <c r="AF4" s="94" t="s">
        <v>83</v>
      </c>
      <c r="AG4" s="30" t="s">
        <v>20</v>
      </c>
      <c r="AH4" s="45" t="s">
        <v>83</v>
      </c>
      <c r="AI4" s="200" t="s">
        <v>20</v>
      </c>
      <c r="AJ4" s="183" t="s">
        <v>83</v>
      </c>
      <c r="AK4" s="30" t="s">
        <v>20</v>
      </c>
      <c r="AL4" s="94" t="s">
        <v>83</v>
      </c>
      <c r="AM4" s="30" t="s">
        <v>20</v>
      </c>
      <c r="AN4" s="94" t="s">
        <v>83</v>
      </c>
    </row>
    <row r="5" spans="1:40" ht="20.25" customHeight="1" thickBot="1" x14ac:dyDescent="0.2">
      <c r="A5" s="232" t="s">
        <v>21</v>
      </c>
      <c r="B5" s="233"/>
      <c r="C5" s="31">
        <v>12000000</v>
      </c>
      <c r="D5" s="115">
        <f>大2!C130</f>
        <v>10703315</v>
      </c>
      <c r="E5" s="31">
        <v>12000000</v>
      </c>
      <c r="F5" s="115">
        <f>大2!D130</f>
        <v>12234126</v>
      </c>
      <c r="G5" s="31">
        <v>15000000</v>
      </c>
      <c r="H5" s="53">
        <f>大2!E130</f>
        <v>12838899</v>
      </c>
      <c r="I5" s="41">
        <f>C5+E5+G5</f>
        <v>39000000</v>
      </c>
      <c r="J5" s="115">
        <f>D5+F5+H5</f>
        <v>35776340</v>
      </c>
      <c r="K5" s="31">
        <v>15000000</v>
      </c>
      <c r="L5" s="115">
        <f>大2!F130</f>
        <v>12976587</v>
      </c>
      <c r="M5" s="31">
        <v>15000000</v>
      </c>
      <c r="N5" s="115">
        <f>大2!G130</f>
        <v>15275708</v>
      </c>
      <c r="O5" s="31">
        <v>15000000</v>
      </c>
      <c r="P5" s="53">
        <f>大2!H130</f>
        <v>14348095</v>
      </c>
      <c r="Q5" s="41">
        <f>K5+M5+O5</f>
        <v>45000000</v>
      </c>
      <c r="R5" s="115">
        <f>L5+N5+P5</f>
        <v>42600390</v>
      </c>
      <c r="S5" s="149">
        <f>I5+Q5</f>
        <v>84000000</v>
      </c>
      <c r="T5" s="115">
        <f>J5+R5</f>
        <v>78376730</v>
      </c>
      <c r="U5" s="31">
        <v>15000000</v>
      </c>
      <c r="V5" s="115">
        <f>大2!I130</f>
        <v>15844009</v>
      </c>
      <c r="W5" s="31">
        <v>15000000</v>
      </c>
      <c r="X5" s="115">
        <f>大2!J130</f>
        <v>15315413</v>
      </c>
      <c r="Y5" s="31">
        <v>21000000</v>
      </c>
      <c r="Z5" s="53">
        <f>大2!K130</f>
        <v>14888139</v>
      </c>
      <c r="AA5" s="41">
        <f>U5+W5+Y5</f>
        <v>51000000</v>
      </c>
      <c r="AB5" s="115">
        <f>V5+X5+Z5</f>
        <v>46047561</v>
      </c>
      <c r="AC5" s="31">
        <v>21000000</v>
      </c>
      <c r="AD5" s="115">
        <f>大2!L130</f>
        <v>14395390</v>
      </c>
      <c r="AE5" s="31">
        <v>21000000</v>
      </c>
      <c r="AF5" s="115">
        <f>大2!M130</f>
        <v>14571549</v>
      </c>
      <c r="AG5" s="31">
        <v>25000000</v>
      </c>
      <c r="AH5" s="53">
        <f>大2!N130</f>
        <v>14216120</v>
      </c>
      <c r="AI5" s="41">
        <f>AC5+AE5+AG5</f>
        <v>67000000</v>
      </c>
      <c r="AJ5" s="115">
        <f>AD5+AF5+AH5</f>
        <v>43183059</v>
      </c>
      <c r="AK5" s="149">
        <f>AA5+AI5</f>
        <v>118000000</v>
      </c>
      <c r="AL5" s="115">
        <f>AB5+AJ5</f>
        <v>89230620</v>
      </c>
      <c r="AM5" s="149">
        <f>S5+AK5</f>
        <v>202000000</v>
      </c>
      <c r="AN5" s="115">
        <f t="shared" ref="AN5:AN21" si="0">SUM(D5,F5,H5,L5,N5,P5,V5,X5,Z5,AD5,AF5,AH5)</f>
        <v>167607350</v>
      </c>
    </row>
    <row r="6" spans="1:40" ht="20.25" customHeight="1" x14ac:dyDescent="0.15">
      <c r="A6" s="25" t="s">
        <v>76</v>
      </c>
      <c r="B6" s="29" t="s">
        <v>64</v>
      </c>
      <c r="C6" s="32">
        <v>7871556.6881095078</v>
      </c>
      <c r="D6" s="9">
        <f>大2!C131</f>
        <v>6690068</v>
      </c>
      <c r="E6" s="32">
        <v>7871556.6881095078</v>
      </c>
      <c r="F6" s="9">
        <f>大2!D131</f>
        <v>7990848</v>
      </c>
      <c r="G6" s="32">
        <v>9839445.8601368852</v>
      </c>
      <c r="H6" s="49">
        <f>大2!E131</f>
        <v>8357003</v>
      </c>
      <c r="I6" s="37">
        <f t="shared" ref="I6:J19" si="1">C6+E6+G6</f>
        <v>25582559.236355901</v>
      </c>
      <c r="J6" s="9">
        <f t="shared" si="1"/>
        <v>23037919</v>
      </c>
      <c r="K6" s="32">
        <v>9839445.8601368852</v>
      </c>
      <c r="L6" s="9">
        <f>大2!F131</f>
        <v>8434916</v>
      </c>
      <c r="M6" s="32">
        <v>9839445.8601368852</v>
      </c>
      <c r="N6" s="9">
        <f>大2!G131</f>
        <v>10522076</v>
      </c>
      <c r="O6" s="32">
        <v>9839445.8601368852</v>
      </c>
      <c r="P6" s="49">
        <f>大2!H131</f>
        <v>9683717</v>
      </c>
      <c r="Q6" s="37">
        <f t="shared" ref="Q6:R19" si="2">K6+M6+O6</f>
        <v>29518337.580410656</v>
      </c>
      <c r="R6" s="9">
        <f t="shared" si="2"/>
        <v>28640709</v>
      </c>
      <c r="S6" s="37">
        <f t="shared" ref="S6:T19" si="3">I6+Q6</f>
        <v>55100896.81676656</v>
      </c>
      <c r="T6" s="9">
        <f t="shared" si="3"/>
        <v>51678628</v>
      </c>
      <c r="U6" s="32">
        <v>9839445.8601368852</v>
      </c>
      <c r="V6" s="9">
        <f>大2!I131</f>
        <v>10706292</v>
      </c>
      <c r="W6" s="32">
        <v>9839445.8601368852</v>
      </c>
      <c r="X6" s="9">
        <f>大2!J131</f>
        <v>10277798</v>
      </c>
      <c r="Y6" s="32">
        <v>13775224.204191638</v>
      </c>
      <c r="Z6" s="49">
        <f>大2!K131</f>
        <v>9948630</v>
      </c>
      <c r="AA6" s="37">
        <f t="shared" ref="AA6:AB19" si="4">U6+W6+Y6</f>
        <v>33454115.92446541</v>
      </c>
      <c r="AB6" s="9">
        <f t="shared" si="4"/>
        <v>30932720</v>
      </c>
      <c r="AC6" s="32">
        <v>13775224.204191638</v>
      </c>
      <c r="AD6" s="9">
        <f>大2!L131</f>
        <v>9868908</v>
      </c>
      <c r="AE6" s="32">
        <v>13775224.204191638</v>
      </c>
      <c r="AF6" s="9">
        <f>大2!M131</f>
        <v>9977468</v>
      </c>
      <c r="AG6" s="32">
        <v>16399076.433561474</v>
      </c>
      <c r="AH6" s="49">
        <f>大2!N131</f>
        <v>9486592</v>
      </c>
      <c r="AI6" s="37">
        <f t="shared" ref="AI6:AJ19" si="5">AC6+AE6+AG6</f>
        <v>43949524.841944754</v>
      </c>
      <c r="AJ6" s="9">
        <f t="shared" si="5"/>
        <v>29332968</v>
      </c>
      <c r="AK6" s="37">
        <f t="shared" ref="AK6:AL19" si="6">AA6+AI6</f>
        <v>77403640.766410172</v>
      </c>
      <c r="AL6" s="9">
        <f t="shared" si="6"/>
        <v>60265688</v>
      </c>
      <c r="AM6" s="37">
        <f t="shared" ref="AM6:AM19" si="7">S6+AK6</f>
        <v>132504537.58317673</v>
      </c>
      <c r="AN6" s="9">
        <f t="shared" si="0"/>
        <v>111944316</v>
      </c>
    </row>
    <row r="7" spans="1:40" ht="20.25" customHeight="1" x14ac:dyDescent="0.15">
      <c r="A7" s="21" t="s">
        <v>77</v>
      </c>
      <c r="B7" s="5" t="s">
        <v>65</v>
      </c>
      <c r="C7" s="33">
        <v>73610.413864936403</v>
      </c>
      <c r="D7" s="116">
        <f>大2!C132</f>
        <v>127800</v>
      </c>
      <c r="E7" s="33">
        <v>73610.413864936403</v>
      </c>
      <c r="F7" s="116">
        <f>大2!D132</f>
        <v>54500</v>
      </c>
      <c r="G7" s="33">
        <v>92013.0173311705</v>
      </c>
      <c r="H7" s="120">
        <f>大2!E132</f>
        <v>75950</v>
      </c>
      <c r="I7" s="150">
        <f t="shared" si="1"/>
        <v>239233.84506104331</v>
      </c>
      <c r="J7" s="116">
        <f t="shared" si="1"/>
        <v>258250</v>
      </c>
      <c r="K7" s="33">
        <v>92013.0173311705</v>
      </c>
      <c r="L7" s="116">
        <f>大2!F132</f>
        <v>72350</v>
      </c>
      <c r="M7" s="33">
        <v>92013.0173311705</v>
      </c>
      <c r="N7" s="116">
        <f>大2!G132</f>
        <v>94900</v>
      </c>
      <c r="O7" s="33">
        <v>92013.0173311705</v>
      </c>
      <c r="P7" s="120">
        <f>大2!H132</f>
        <v>93675</v>
      </c>
      <c r="Q7" s="150">
        <f t="shared" si="2"/>
        <v>276039.0519935115</v>
      </c>
      <c r="R7" s="116">
        <f t="shared" si="2"/>
        <v>260925</v>
      </c>
      <c r="S7" s="150">
        <f t="shared" si="3"/>
        <v>515272.89705455478</v>
      </c>
      <c r="T7" s="116">
        <f t="shared" si="3"/>
        <v>519175</v>
      </c>
      <c r="U7" s="33">
        <v>92013.0173311705</v>
      </c>
      <c r="V7" s="116">
        <f>大2!I132</f>
        <v>77400</v>
      </c>
      <c r="W7" s="33">
        <v>92013.0173311705</v>
      </c>
      <c r="X7" s="116">
        <f>大2!J132</f>
        <v>66400</v>
      </c>
      <c r="Y7" s="33">
        <v>128818.22426363869</v>
      </c>
      <c r="Z7" s="120">
        <f>大2!K132</f>
        <v>176791</v>
      </c>
      <c r="AA7" s="150">
        <f t="shared" si="4"/>
        <v>312844.25892597972</v>
      </c>
      <c r="AB7" s="116">
        <f t="shared" si="4"/>
        <v>320591</v>
      </c>
      <c r="AC7" s="33">
        <v>128818.22426363869</v>
      </c>
      <c r="AD7" s="116">
        <f>大2!L132</f>
        <v>67900</v>
      </c>
      <c r="AE7" s="33">
        <v>128818.22426363869</v>
      </c>
      <c r="AF7" s="116">
        <f>大2!M132</f>
        <v>74692</v>
      </c>
      <c r="AG7" s="33">
        <v>153355.02888528418</v>
      </c>
      <c r="AH7" s="120">
        <f>大2!N132</f>
        <v>82325</v>
      </c>
      <c r="AI7" s="150">
        <f t="shared" si="5"/>
        <v>410991.47741256154</v>
      </c>
      <c r="AJ7" s="116">
        <f t="shared" si="5"/>
        <v>224917</v>
      </c>
      <c r="AK7" s="150">
        <f t="shared" si="6"/>
        <v>723835.73633854126</v>
      </c>
      <c r="AL7" s="116">
        <f t="shared" si="6"/>
        <v>545508</v>
      </c>
      <c r="AM7" s="150">
        <f t="shared" si="7"/>
        <v>1239108.633393096</v>
      </c>
      <c r="AN7" s="116">
        <f t="shared" si="0"/>
        <v>1064683</v>
      </c>
    </row>
    <row r="8" spans="1:40" ht="20.25" customHeight="1" x14ac:dyDescent="0.15">
      <c r="A8" s="23"/>
      <c r="B8" s="5" t="s">
        <v>66</v>
      </c>
      <c r="C8" s="33">
        <v>39860.829442693968</v>
      </c>
      <c r="D8" s="116">
        <f>大2!C134</f>
        <v>105801</v>
      </c>
      <c r="E8" s="33">
        <v>39860.829442693968</v>
      </c>
      <c r="F8" s="116">
        <f>大2!D134</f>
        <v>12059</v>
      </c>
      <c r="G8" s="33">
        <v>49826.03680336746</v>
      </c>
      <c r="H8" s="120">
        <f>大2!E134</f>
        <v>95335</v>
      </c>
      <c r="I8" s="150">
        <f t="shared" si="1"/>
        <v>129547.6956887554</v>
      </c>
      <c r="J8" s="116">
        <f t="shared" si="1"/>
        <v>213195</v>
      </c>
      <c r="K8" s="33">
        <v>49826.03680336746</v>
      </c>
      <c r="L8" s="116">
        <f>大2!F134</f>
        <v>132301</v>
      </c>
      <c r="M8" s="33">
        <v>49826.03680336746</v>
      </c>
      <c r="N8" s="116">
        <f>大2!G134</f>
        <v>100025</v>
      </c>
      <c r="O8" s="33">
        <v>49826.03680336746</v>
      </c>
      <c r="P8" s="120">
        <f>大2!H134</f>
        <v>92641</v>
      </c>
      <c r="Q8" s="150">
        <f t="shared" si="2"/>
        <v>149478.11041010238</v>
      </c>
      <c r="R8" s="116">
        <f t="shared" si="2"/>
        <v>324967</v>
      </c>
      <c r="S8" s="150">
        <f t="shared" si="3"/>
        <v>279025.80609885778</v>
      </c>
      <c r="T8" s="116">
        <f t="shared" si="3"/>
        <v>538162</v>
      </c>
      <c r="U8" s="33">
        <v>49826.03680336746</v>
      </c>
      <c r="V8" s="116">
        <f>大2!I134</f>
        <v>74911</v>
      </c>
      <c r="W8" s="33">
        <v>49826.03680336746</v>
      </c>
      <c r="X8" s="116">
        <f>大2!J134</f>
        <v>103335</v>
      </c>
      <c r="Y8" s="33">
        <v>69756.451524714445</v>
      </c>
      <c r="Z8" s="120">
        <f>大2!K134</f>
        <v>120668</v>
      </c>
      <c r="AA8" s="150">
        <f t="shared" si="4"/>
        <v>169408.52513144937</v>
      </c>
      <c r="AB8" s="116">
        <f t="shared" si="4"/>
        <v>298914</v>
      </c>
      <c r="AC8" s="33">
        <v>69756.451524714445</v>
      </c>
      <c r="AD8" s="116">
        <f>大2!L134</f>
        <v>142903</v>
      </c>
      <c r="AE8" s="33">
        <v>69756.451524714445</v>
      </c>
      <c r="AF8" s="116">
        <f>大2!M134</f>
        <v>173837</v>
      </c>
      <c r="AG8" s="33">
        <v>83043.394672279101</v>
      </c>
      <c r="AH8" s="120">
        <f>大2!N134</f>
        <v>179883</v>
      </c>
      <c r="AI8" s="150">
        <f t="shared" si="5"/>
        <v>222556.29772170799</v>
      </c>
      <c r="AJ8" s="116">
        <f t="shared" si="5"/>
        <v>496623</v>
      </c>
      <c r="AK8" s="150">
        <f t="shared" si="6"/>
        <v>391964.82285315735</v>
      </c>
      <c r="AL8" s="116">
        <f t="shared" si="6"/>
        <v>795537</v>
      </c>
      <c r="AM8" s="150">
        <f t="shared" si="7"/>
        <v>670990.62895201519</v>
      </c>
      <c r="AN8" s="116">
        <f t="shared" si="0"/>
        <v>1333699</v>
      </c>
    </row>
    <row r="9" spans="1:40" ht="20.25" customHeight="1" x14ac:dyDescent="0.15">
      <c r="A9" s="23"/>
      <c r="B9" s="5" t="s">
        <v>22</v>
      </c>
      <c r="C9" s="34">
        <v>199474.58169147425</v>
      </c>
      <c r="D9" s="116">
        <f>大2!C135</f>
        <v>183776</v>
      </c>
      <c r="E9" s="34">
        <v>199474.58169147425</v>
      </c>
      <c r="F9" s="116">
        <f>大2!D135</f>
        <v>169754</v>
      </c>
      <c r="G9" s="34">
        <v>249343.22711434279</v>
      </c>
      <c r="H9" s="120">
        <f>大2!E135</f>
        <v>228008</v>
      </c>
      <c r="I9" s="151">
        <f t="shared" si="1"/>
        <v>648292.39049729123</v>
      </c>
      <c r="J9" s="117">
        <f t="shared" si="1"/>
        <v>581538</v>
      </c>
      <c r="K9" s="34">
        <v>249343.22711434279</v>
      </c>
      <c r="L9" s="116">
        <f>大2!F135</f>
        <v>243338</v>
      </c>
      <c r="M9" s="34">
        <v>249343.22711434279</v>
      </c>
      <c r="N9" s="116">
        <f>大2!G135</f>
        <v>272976</v>
      </c>
      <c r="O9" s="34">
        <v>249343.22711434279</v>
      </c>
      <c r="P9" s="120">
        <f>大2!H135</f>
        <v>292394</v>
      </c>
      <c r="Q9" s="151">
        <f t="shared" si="2"/>
        <v>748029.68134302832</v>
      </c>
      <c r="R9" s="117">
        <f t="shared" si="2"/>
        <v>808708</v>
      </c>
      <c r="S9" s="151">
        <f t="shared" si="3"/>
        <v>1396322.0718403195</v>
      </c>
      <c r="T9" s="117">
        <f t="shared" si="3"/>
        <v>1390246</v>
      </c>
      <c r="U9" s="34">
        <v>249343.22711434279</v>
      </c>
      <c r="V9" s="116">
        <f>大2!I135</f>
        <v>322646</v>
      </c>
      <c r="W9" s="34">
        <v>249343.22711434279</v>
      </c>
      <c r="X9" s="116">
        <f>大2!J135</f>
        <v>358519</v>
      </c>
      <c r="Y9" s="34">
        <v>349080.51796007989</v>
      </c>
      <c r="Z9" s="120">
        <f>大2!K135</f>
        <v>350343</v>
      </c>
      <c r="AA9" s="151">
        <f t="shared" si="4"/>
        <v>847766.97218876542</v>
      </c>
      <c r="AB9" s="117">
        <f t="shared" si="4"/>
        <v>1031508</v>
      </c>
      <c r="AC9" s="34">
        <v>349080.51796007989</v>
      </c>
      <c r="AD9" s="116">
        <f>大2!L135</f>
        <v>350343</v>
      </c>
      <c r="AE9" s="60">
        <v>349080.51796007989</v>
      </c>
      <c r="AF9" s="116">
        <f>大2!M135</f>
        <v>362607</v>
      </c>
      <c r="AG9" s="60">
        <v>415572.04519057134</v>
      </c>
      <c r="AH9" s="120">
        <f>大2!N135</f>
        <v>361585</v>
      </c>
      <c r="AI9" s="151">
        <f t="shared" si="5"/>
        <v>1113733.0811107312</v>
      </c>
      <c r="AJ9" s="117">
        <f t="shared" si="5"/>
        <v>1074535</v>
      </c>
      <c r="AK9" s="151">
        <f t="shared" si="6"/>
        <v>1961500.0532994966</v>
      </c>
      <c r="AL9" s="117">
        <f t="shared" si="6"/>
        <v>2106043</v>
      </c>
      <c r="AM9" s="151">
        <f t="shared" si="7"/>
        <v>3357822.1251398162</v>
      </c>
      <c r="AN9" s="117">
        <f t="shared" si="0"/>
        <v>3496289</v>
      </c>
    </row>
    <row r="10" spans="1:40" ht="20.25" customHeight="1" x14ac:dyDescent="0.15">
      <c r="A10" s="23"/>
      <c r="B10" s="5" t="s">
        <v>67</v>
      </c>
      <c r="C10" s="34">
        <v>24420.9227300401</v>
      </c>
      <c r="D10" s="116">
        <f>大2!C136</f>
        <v>27558</v>
      </c>
      <c r="E10" s="34">
        <v>24420.9227300401</v>
      </c>
      <c r="F10" s="116">
        <f>大2!D136</f>
        <v>21829</v>
      </c>
      <c r="G10" s="34">
        <v>30526.153412550124</v>
      </c>
      <c r="H10" s="120">
        <f>大2!E136</f>
        <v>26585</v>
      </c>
      <c r="I10" s="151">
        <f t="shared" si="1"/>
        <v>79367.998872630327</v>
      </c>
      <c r="J10" s="117">
        <f t="shared" si="1"/>
        <v>75972</v>
      </c>
      <c r="K10" s="34">
        <v>30526.153412550124</v>
      </c>
      <c r="L10" s="116">
        <f>大2!F136</f>
        <v>25109</v>
      </c>
      <c r="M10" s="34">
        <v>30526.153412550124</v>
      </c>
      <c r="N10" s="116">
        <f>大2!G136</f>
        <v>28225</v>
      </c>
      <c r="O10" s="34">
        <v>30526.153412550124</v>
      </c>
      <c r="P10" s="120">
        <f>大2!H136</f>
        <v>29783</v>
      </c>
      <c r="Q10" s="151">
        <f t="shared" si="2"/>
        <v>91578.460237650375</v>
      </c>
      <c r="R10" s="117">
        <f t="shared" si="2"/>
        <v>83117</v>
      </c>
      <c r="S10" s="151">
        <f t="shared" si="3"/>
        <v>170946.4591102807</v>
      </c>
      <c r="T10" s="117">
        <f t="shared" si="3"/>
        <v>159089</v>
      </c>
      <c r="U10" s="34">
        <v>30526.153412550124</v>
      </c>
      <c r="V10" s="116">
        <f>大2!I136</f>
        <v>33079</v>
      </c>
      <c r="W10" s="34">
        <v>30526.153412550124</v>
      </c>
      <c r="X10" s="116">
        <f>大2!J136</f>
        <v>39081</v>
      </c>
      <c r="Y10" s="34">
        <v>42736.614777570176</v>
      </c>
      <c r="Z10" s="120">
        <f>大2!K136</f>
        <v>39081</v>
      </c>
      <c r="AA10" s="151">
        <f t="shared" si="4"/>
        <v>103788.92160267042</v>
      </c>
      <c r="AB10" s="117">
        <f t="shared" si="4"/>
        <v>111241</v>
      </c>
      <c r="AC10" s="34">
        <v>42736.614777570176</v>
      </c>
      <c r="AD10" s="116">
        <f>大2!L136</f>
        <v>39081</v>
      </c>
      <c r="AE10" s="60">
        <v>42736.614777570176</v>
      </c>
      <c r="AF10" s="116">
        <f>大2!M136</f>
        <v>43017</v>
      </c>
      <c r="AG10" s="60">
        <v>50876.922354250208</v>
      </c>
      <c r="AH10" s="120">
        <f>大2!N136</f>
        <v>44493</v>
      </c>
      <c r="AI10" s="151">
        <f t="shared" si="5"/>
        <v>136350.15190939055</v>
      </c>
      <c r="AJ10" s="117">
        <f t="shared" si="5"/>
        <v>126591</v>
      </c>
      <c r="AK10" s="151">
        <f t="shared" si="6"/>
        <v>240139.07351206098</v>
      </c>
      <c r="AL10" s="117">
        <f t="shared" si="6"/>
        <v>237832</v>
      </c>
      <c r="AM10" s="151">
        <f t="shared" si="7"/>
        <v>411085.53262234165</v>
      </c>
      <c r="AN10" s="117">
        <f t="shared" si="0"/>
        <v>396921</v>
      </c>
    </row>
    <row r="11" spans="1:40" ht="20.25" customHeight="1" x14ac:dyDescent="0.15">
      <c r="A11" s="23"/>
      <c r="B11" s="5" t="s">
        <v>23</v>
      </c>
      <c r="C11" s="34">
        <v>355144.96126626834</v>
      </c>
      <c r="D11" s="116">
        <f>大2!C137</f>
        <v>326838</v>
      </c>
      <c r="E11" s="34">
        <v>355144.96126626834</v>
      </c>
      <c r="F11" s="116">
        <f>大2!D137</f>
        <v>303963</v>
      </c>
      <c r="G11" s="34">
        <v>443931.20158283541</v>
      </c>
      <c r="H11" s="120">
        <f>大2!E137</f>
        <v>408273</v>
      </c>
      <c r="I11" s="151">
        <f t="shared" si="1"/>
        <v>1154221.1241153721</v>
      </c>
      <c r="J11" s="117">
        <f t="shared" si="1"/>
        <v>1039074</v>
      </c>
      <c r="K11" s="34">
        <v>443931.20158283541</v>
      </c>
      <c r="L11" s="116">
        <f>大2!F137</f>
        <v>435723</v>
      </c>
      <c r="M11" s="34">
        <v>443931.20158283541</v>
      </c>
      <c r="N11" s="116">
        <f>大2!G137</f>
        <v>488793</v>
      </c>
      <c r="O11" s="34">
        <v>443931.20158283541</v>
      </c>
      <c r="P11" s="120">
        <f>大2!H137</f>
        <v>523563</v>
      </c>
      <c r="Q11" s="151">
        <f t="shared" si="2"/>
        <v>1331793.6047485061</v>
      </c>
      <c r="R11" s="117">
        <f t="shared" si="2"/>
        <v>1448079</v>
      </c>
      <c r="S11" s="151">
        <f t="shared" si="3"/>
        <v>2486014.7288638782</v>
      </c>
      <c r="T11" s="117">
        <f t="shared" si="3"/>
        <v>2487153</v>
      </c>
      <c r="U11" s="34">
        <v>443931.20158283541</v>
      </c>
      <c r="V11" s="116">
        <f>大2!I137</f>
        <v>577731</v>
      </c>
      <c r="W11" s="34">
        <v>443931.20158283541</v>
      </c>
      <c r="X11" s="116">
        <f>大2!J137</f>
        <v>641964</v>
      </c>
      <c r="Y11" s="34">
        <v>621503.68221596954</v>
      </c>
      <c r="Z11" s="120">
        <f>大2!K137</f>
        <v>627324</v>
      </c>
      <c r="AA11" s="151">
        <f t="shared" si="4"/>
        <v>1509366.0853816404</v>
      </c>
      <c r="AB11" s="117">
        <f t="shared" si="4"/>
        <v>1847019</v>
      </c>
      <c r="AC11" s="34">
        <v>621503.68221596954</v>
      </c>
      <c r="AD11" s="116">
        <f>大2!L137</f>
        <v>627324</v>
      </c>
      <c r="AE11" s="60">
        <v>621503.68221596954</v>
      </c>
      <c r="AF11" s="116">
        <f>大2!M137</f>
        <v>649284</v>
      </c>
      <c r="AG11" s="60">
        <v>739885.33597139234</v>
      </c>
      <c r="AH11" s="120">
        <f>大2!N137</f>
        <v>647454</v>
      </c>
      <c r="AI11" s="151">
        <f t="shared" si="5"/>
        <v>1982892.7004033313</v>
      </c>
      <c r="AJ11" s="117">
        <f t="shared" si="5"/>
        <v>1924062</v>
      </c>
      <c r="AK11" s="151">
        <f t="shared" si="6"/>
        <v>3492258.7857849719</v>
      </c>
      <c r="AL11" s="117">
        <f t="shared" si="6"/>
        <v>3771081</v>
      </c>
      <c r="AM11" s="151">
        <f t="shared" si="7"/>
        <v>5978273.5146488501</v>
      </c>
      <c r="AN11" s="117">
        <f t="shared" si="0"/>
        <v>6258234</v>
      </c>
    </row>
    <row r="12" spans="1:40" ht="20.25" customHeight="1" x14ac:dyDescent="0.15">
      <c r="A12" s="23"/>
      <c r="B12" s="5" t="s">
        <v>24</v>
      </c>
      <c r="C12" s="34">
        <v>35941.344702503622</v>
      </c>
      <c r="D12" s="116">
        <f>大2!C138</f>
        <v>30014</v>
      </c>
      <c r="E12" s="34">
        <v>35941.344702503622</v>
      </c>
      <c r="F12" s="116">
        <f>大2!D138</f>
        <v>35144</v>
      </c>
      <c r="G12" s="34">
        <v>44926.680878129526</v>
      </c>
      <c r="H12" s="120">
        <f>大2!E138</f>
        <v>37828</v>
      </c>
      <c r="I12" s="151">
        <f t="shared" si="1"/>
        <v>116809.37028313677</v>
      </c>
      <c r="J12" s="117">
        <f t="shared" si="1"/>
        <v>102986</v>
      </c>
      <c r="K12" s="34">
        <v>44926.680878129526</v>
      </c>
      <c r="L12" s="116">
        <f>大2!F138</f>
        <v>38740</v>
      </c>
      <c r="M12" s="34">
        <v>44926.680878129526</v>
      </c>
      <c r="N12" s="116">
        <f>大2!G138</f>
        <v>49108</v>
      </c>
      <c r="O12" s="34">
        <v>44926.680878129526</v>
      </c>
      <c r="P12" s="120">
        <f>大2!H138</f>
        <v>46870</v>
      </c>
      <c r="Q12" s="151">
        <f t="shared" si="2"/>
        <v>134780.04263438858</v>
      </c>
      <c r="R12" s="117">
        <f t="shared" si="2"/>
        <v>134718</v>
      </c>
      <c r="S12" s="151">
        <f t="shared" si="3"/>
        <v>251589.41291752533</v>
      </c>
      <c r="T12" s="117">
        <f t="shared" si="3"/>
        <v>237704</v>
      </c>
      <c r="U12" s="34">
        <v>44926.680878129526</v>
      </c>
      <c r="V12" s="116">
        <f>大2!I138</f>
        <v>52184</v>
      </c>
      <c r="W12" s="34">
        <v>44926.680878129526</v>
      </c>
      <c r="X12" s="116">
        <f>大2!J138</f>
        <v>71995</v>
      </c>
      <c r="Y12" s="34">
        <v>62897.35322938134</v>
      </c>
      <c r="Z12" s="120">
        <f>大2!K138</f>
        <v>69208</v>
      </c>
      <c r="AA12" s="151">
        <f t="shared" si="4"/>
        <v>152750.7149856404</v>
      </c>
      <c r="AB12" s="117">
        <f t="shared" si="4"/>
        <v>193387</v>
      </c>
      <c r="AC12" s="34">
        <v>62897.35322938134</v>
      </c>
      <c r="AD12" s="116">
        <f>大2!L138</f>
        <v>68192</v>
      </c>
      <c r="AE12" s="60">
        <v>62897.35322938134</v>
      </c>
      <c r="AF12" s="116">
        <f>大2!M138</f>
        <v>67852</v>
      </c>
      <c r="AG12" s="60">
        <v>74877.801463549215</v>
      </c>
      <c r="AH12" s="120">
        <f>大2!N138</f>
        <v>65073</v>
      </c>
      <c r="AI12" s="151">
        <f t="shared" si="5"/>
        <v>200672.5079223119</v>
      </c>
      <c r="AJ12" s="117">
        <f t="shared" si="5"/>
        <v>201117</v>
      </c>
      <c r="AK12" s="151">
        <f t="shared" si="6"/>
        <v>353423.22290795227</v>
      </c>
      <c r="AL12" s="117">
        <f t="shared" si="6"/>
        <v>394504</v>
      </c>
      <c r="AM12" s="151">
        <f t="shared" si="7"/>
        <v>605012.63582547754</v>
      </c>
      <c r="AN12" s="117">
        <f t="shared" si="0"/>
        <v>632208</v>
      </c>
    </row>
    <row r="13" spans="1:40" ht="20.25" customHeight="1" x14ac:dyDescent="0.15">
      <c r="A13" s="23"/>
      <c r="B13" s="5" t="s">
        <v>25</v>
      </c>
      <c r="C13" s="34">
        <v>46516.244983374221</v>
      </c>
      <c r="D13" s="117">
        <f>ROUND(大2!C139*3/1000,0)</f>
        <v>21328</v>
      </c>
      <c r="E13" s="34">
        <v>46516.244983374221</v>
      </c>
      <c r="F13" s="117">
        <f>ROUND(大2!D139*3/1000,0)</f>
        <v>24764</v>
      </c>
      <c r="G13" s="34">
        <v>58145.306229217778</v>
      </c>
      <c r="H13" s="121">
        <f>ROUND(大2!E139*3/1000,0)</f>
        <v>26137</v>
      </c>
      <c r="I13" s="151">
        <f t="shared" si="1"/>
        <v>151177.79619596622</v>
      </c>
      <c r="J13" s="117">
        <f t="shared" si="1"/>
        <v>72229</v>
      </c>
      <c r="K13" s="34">
        <v>58145.306229217778</v>
      </c>
      <c r="L13" s="117">
        <f>ROUND(大2!F139*3/1000,0)</f>
        <v>26502</v>
      </c>
      <c r="M13" s="34">
        <v>58145.306229217778</v>
      </c>
      <c r="N13" s="117">
        <f>ROUND(大2!G139*3/1000,0)</f>
        <v>32792</v>
      </c>
      <c r="O13" s="34">
        <v>58145.306229217778</v>
      </c>
      <c r="P13" s="121">
        <f>ROUND(大2!H139*3/1000,0)</f>
        <v>30280</v>
      </c>
      <c r="Q13" s="151">
        <f t="shared" si="2"/>
        <v>174435.91868765332</v>
      </c>
      <c r="R13" s="117">
        <f t="shared" si="2"/>
        <v>89574</v>
      </c>
      <c r="S13" s="151">
        <f t="shared" si="3"/>
        <v>325613.71488361957</v>
      </c>
      <c r="T13" s="117">
        <f t="shared" si="3"/>
        <v>161803</v>
      </c>
      <c r="U13" s="34">
        <v>58145.306229217778</v>
      </c>
      <c r="V13" s="117">
        <f>ROUND(大2!I139*3/1000,0)</f>
        <v>33382</v>
      </c>
      <c r="W13" s="34">
        <v>58145.306229217778</v>
      </c>
      <c r="X13" s="117">
        <f>ROUND(大2!J139*3/1000,0)</f>
        <v>32126</v>
      </c>
      <c r="Y13" s="34">
        <v>81403.428720904893</v>
      </c>
      <c r="Z13" s="121">
        <f>ROUND(大2!K139*3/1000,0)</f>
        <v>31511</v>
      </c>
      <c r="AA13" s="151">
        <f t="shared" si="4"/>
        <v>197694.04117934045</v>
      </c>
      <c r="AB13" s="117">
        <f t="shared" si="4"/>
        <v>97019</v>
      </c>
      <c r="AC13" s="34">
        <v>81403.428720904893</v>
      </c>
      <c r="AD13" s="117">
        <f>ROUND(大2!L139*3/1000,0)</f>
        <v>30988</v>
      </c>
      <c r="AE13" s="34">
        <v>81403.428720904893</v>
      </c>
      <c r="AF13" s="117">
        <f>ROUND(大2!M139*3/1000,0)</f>
        <v>31461</v>
      </c>
      <c r="AG13" s="34">
        <v>96908.843715362964</v>
      </c>
      <c r="AH13" s="121">
        <f>ROUND(大2!N139*3/1000,0)</f>
        <v>30133</v>
      </c>
      <c r="AI13" s="151">
        <f t="shared" si="5"/>
        <v>259715.70115717273</v>
      </c>
      <c r="AJ13" s="117">
        <f t="shared" si="5"/>
        <v>92582</v>
      </c>
      <c r="AK13" s="151">
        <f t="shared" si="6"/>
        <v>457409.74233651318</v>
      </c>
      <c r="AL13" s="117">
        <f t="shared" si="6"/>
        <v>189601</v>
      </c>
      <c r="AM13" s="151">
        <f t="shared" si="7"/>
        <v>783023.4572201327</v>
      </c>
      <c r="AN13" s="117">
        <f t="shared" si="0"/>
        <v>351404</v>
      </c>
    </row>
    <row r="14" spans="1:40" ht="20.25" customHeight="1" x14ac:dyDescent="0.15">
      <c r="A14" s="26"/>
      <c r="B14" s="27" t="s">
        <v>26</v>
      </c>
      <c r="C14" s="35">
        <v>195092.19442203394</v>
      </c>
      <c r="D14" s="118">
        <f>大2!C133</f>
        <v>185800</v>
      </c>
      <c r="E14" s="35">
        <v>195092.19442203394</v>
      </c>
      <c r="F14" s="118">
        <f>大2!D133</f>
        <v>197190</v>
      </c>
      <c r="G14" s="35">
        <v>243865.24302754243</v>
      </c>
      <c r="H14" s="122">
        <f>大2!E133</f>
        <v>184130</v>
      </c>
      <c r="I14" s="152">
        <f t="shared" si="1"/>
        <v>634049.6318716103</v>
      </c>
      <c r="J14" s="118">
        <f t="shared" si="1"/>
        <v>567120</v>
      </c>
      <c r="K14" s="35">
        <v>243865.24302754243</v>
      </c>
      <c r="L14" s="118">
        <f>大2!F133</f>
        <v>194430</v>
      </c>
      <c r="M14" s="35">
        <v>243865.24302754243</v>
      </c>
      <c r="N14" s="118">
        <f>大2!G133</f>
        <v>213540</v>
      </c>
      <c r="O14" s="35">
        <v>243865.24302754243</v>
      </c>
      <c r="P14" s="122">
        <f>大2!H133</f>
        <v>223260</v>
      </c>
      <c r="Q14" s="152">
        <f t="shared" si="2"/>
        <v>731595.72908262722</v>
      </c>
      <c r="R14" s="118">
        <f t="shared" si="2"/>
        <v>631230</v>
      </c>
      <c r="S14" s="152">
        <f t="shared" si="3"/>
        <v>1365645.3609542376</v>
      </c>
      <c r="T14" s="118">
        <f t="shared" si="3"/>
        <v>1198350</v>
      </c>
      <c r="U14" s="35">
        <v>243865.24302754243</v>
      </c>
      <c r="V14" s="118">
        <f>大2!I133</f>
        <v>268890</v>
      </c>
      <c r="W14" s="35">
        <v>243865.24302754243</v>
      </c>
      <c r="X14" s="118">
        <f>大2!J133</f>
        <v>261080</v>
      </c>
      <c r="Y14" s="35">
        <v>341411.34023855941</v>
      </c>
      <c r="Z14" s="122">
        <f>大2!K133</f>
        <v>244030</v>
      </c>
      <c r="AA14" s="152">
        <f t="shared" si="4"/>
        <v>829141.82629364426</v>
      </c>
      <c r="AB14" s="118">
        <f t="shared" si="4"/>
        <v>774000</v>
      </c>
      <c r="AC14" s="35">
        <v>341411.34023855941</v>
      </c>
      <c r="AD14" s="118">
        <f>大2!L133</f>
        <v>234620</v>
      </c>
      <c r="AE14" s="35">
        <v>341411.34023855941</v>
      </c>
      <c r="AF14" s="118">
        <f>大2!M133</f>
        <v>238560</v>
      </c>
      <c r="AG14" s="35">
        <v>406442.07171257067</v>
      </c>
      <c r="AH14" s="122">
        <f>大2!N133</f>
        <v>264350</v>
      </c>
      <c r="AI14" s="152">
        <f t="shared" si="5"/>
        <v>1089264.7521896895</v>
      </c>
      <c r="AJ14" s="118">
        <f t="shared" si="5"/>
        <v>737530</v>
      </c>
      <c r="AK14" s="152">
        <f t="shared" si="6"/>
        <v>1918406.5784833338</v>
      </c>
      <c r="AL14" s="118">
        <f t="shared" si="6"/>
        <v>1511530</v>
      </c>
      <c r="AM14" s="152">
        <f t="shared" si="7"/>
        <v>3284051.9394375714</v>
      </c>
      <c r="AN14" s="118">
        <f t="shared" si="0"/>
        <v>2709880</v>
      </c>
    </row>
    <row r="15" spans="1:40" ht="20.25" customHeight="1" x14ac:dyDescent="0.15">
      <c r="A15" s="21" t="s">
        <v>77</v>
      </c>
      <c r="B15" s="22" t="s">
        <v>68</v>
      </c>
      <c r="C15" s="34">
        <v>0</v>
      </c>
      <c r="D15" s="4"/>
      <c r="E15" s="34">
        <v>0</v>
      </c>
      <c r="F15" s="4"/>
      <c r="G15" s="34">
        <v>0</v>
      </c>
      <c r="H15" s="46"/>
      <c r="I15" s="151">
        <f t="shared" si="1"/>
        <v>0</v>
      </c>
      <c r="J15" s="117">
        <f t="shared" si="1"/>
        <v>0</v>
      </c>
      <c r="K15" s="34">
        <v>0</v>
      </c>
      <c r="L15" s="4"/>
      <c r="M15" s="34">
        <v>0</v>
      </c>
      <c r="N15" s="4"/>
      <c r="O15" s="34">
        <v>0</v>
      </c>
      <c r="P15" s="46"/>
      <c r="Q15" s="151">
        <f t="shared" si="2"/>
        <v>0</v>
      </c>
      <c r="R15" s="117">
        <f t="shared" si="2"/>
        <v>0</v>
      </c>
      <c r="S15" s="151">
        <f t="shared" si="3"/>
        <v>0</v>
      </c>
      <c r="T15" s="117">
        <f t="shared" si="3"/>
        <v>0</v>
      </c>
      <c r="U15" s="34">
        <v>0</v>
      </c>
      <c r="V15" s="4"/>
      <c r="W15" s="34">
        <v>0</v>
      </c>
      <c r="X15" s="4"/>
      <c r="Y15" s="44">
        <v>0</v>
      </c>
      <c r="Z15" s="46"/>
      <c r="AA15" s="151">
        <f t="shared" si="4"/>
        <v>0</v>
      </c>
      <c r="AB15" s="117">
        <f t="shared" si="4"/>
        <v>0</v>
      </c>
      <c r="AC15" s="34">
        <v>0</v>
      </c>
      <c r="AD15" s="4"/>
      <c r="AE15" s="34">
        <v>0</v>
      </c>
      <c r="AF15" s="4">
        <v>819</v>
      </c>
      <c r="AG15" s="34">
        <v>0</v>
      </c>
      <c r="AH15" s="46"/>
      <c r="AI15" s="151">
        <f t="shared" si="5"/>
        <v>0</v>
      </c>
      <c r="AJ15" s="117">
        <f t="shared" si="5"/>
        <v>819</v>
      </c>
      <c r="AK15" s="151">
        <f t="shared" si="6"/>
        <v>0</v>
      </c>
      <c r="AL15" s="117">
        <f t="shared" si="6"/>
        <v>819</v>
      </c>
      <c r="AM15" s="151">
        <f t="shared" si="7"/>
        <v>0</v>
      </c>
      <c r="AN15" s="117">
        <f t="shared" si="0"/>
        <v>819</v>
      </c>
    </row>
    <row r="16" spans="1:40" ht="20.25" customHeight="1" x14ac:dyDescent="0.15">
      <c r="A16" s="21" t="s">
        <v>78</v>
      </c>
      <c r="B16" s="6" t="s">
        <v>69</v>
      </c>
      <c r="C16" s="34">
        <v>121375.8038598266</v>
      </c>
      <c r="D16" s="4">
        <v>52070</v>
      </c>
      <c r="E16" s="34">
        <v>121375.8038598266</v>
      </c>
      <c r="F16" s="4">
        <v>52070</v>
      </c>
      <c r="G16" s="34">
        <v>151719.75482478325</v>
      </c>
      <c r="H16" s="46">
        <v>72970</v>
      </c>
      <c r="I16" s="151">
        <f t="shared" si="1"/>
        <v>394471.36254443647</v>
      </c>
      <c r="J16" s="117">
        <f t="shared" si="1"/>
        <v>177110</v>
      </c>
      <c r="K16" s="34">
        <v>151719.75482478325</v>
      </c>
      <c r="L16" s="4">
        <v>78110</v>
      </c>
      <c r="M16" s="34">
        <v>151719.75482478325</v>
      </c>
      <c r="N16" s="4">
        <v>83467</v>
      </c>
      <c r="O16" s="34">
        <v>151719.75482478325</v>
      </c>
      <c r="P16" s="46">
        <f>4360+81110</f>
        <v>85470</v>
      </c>
      <c r="Q16" s="151">
        <f t="shared" si="2"/>
        <v>455159.26447434974</v>
      </c>
      <c r="R16" s="117">
        <f t="shared" si="2"/>
        <v>247047</v>
      </c>
      <c r="S16" s="151">
        <f t="shared" si="3"/>
        <v>849630.62701878627</v>
      </c>
      <c r="T16" s="117">
        <f t="shared" si="3"/>
        <v>424157</v>
      </c>
      <c r="U16" s="34">
        <v>151719.75482478325</v>
      </c>
      <c r="V16" s="4">
        <f>83000+26000</f>
        <v>109000</v>
      </c>
      <c r="W16" s="34">
        <v>151719.75482478325</v>
      </c>
      <c r="X16" s="4">
        <v>68605</v>
      </c>
      <c r="Y16" s="44">
        <v>212407.65675469654</v>
      </c>
      <c r="Z16" s="46">
        <v>68020</v>
      </c>
      <c r="AA16" s="151">
        <f t="shared" si="4"/>
        <v>515847.166404263</v>
      </c>
      <c r="AB16" s="117">
        <f t="shared" si="4"/>
        <v>245625</v>
      </c>
      <c r="AC16" s="34">
        <v>212407.65675469654</v>
      </c>
      <c r="AD16" s="4">
        <v>68020</v>
      </c>
      <c r="AE16" s="34">
        <v>212407.65675469654</v>
      </c>
      <c r="AF16" s="4">
        <f>66230+880</f>
        <v>67110</v>
      </c>
      <c r="AG16" s="34">
        <v>252866.25804130541</v>
      </c>
      <c r="AH16" s="46">
        <v>66230</v>
      </c>
      <c r="AI16" s="151">
        <f t="shared" si="5"/>
        <v>677681.57155069849</v>
      </c>
      <c r="AJ16" s="117">
        <f t="shared" si="5"/>
        <v>201360</v>
      </c>
      <c r="AK16" s="151">
        <f t="shared" si="6"/>
        <v>1193528.7379549616</v>
      </c>
      <c r="AL16" s="117">
        <f t="shared" si="6"/>
        <v>446985</v>
      </c>
      <c r="AM16" s="151">
        <f t="shared" si="7"/>
        <v>2043159.3649737479</v>
      </c>
      <c r="AN16" s="117">
        <f t="shared" si="0"/>
        <v>871142</v>
      </c>
    </row>
    <row r="17" spans="1:40" ht="20.25" customHeight="1" x14ac:dyDescent="0.15">
      <c r="A17" s="21" t="s">
        <v>79</v>
      </c>
      <c r="B17" s="6" t="s">
        <v>70</v>
      </c>
      <c r="C17" s="34">
        <v>4366.2136102090835</v>
      </c>
      <c r="D17" s="4"/>
      <c r="E17" s="34">
        <v>4366.2136102090835</v>
      </c>
      <c r="F17" s="4"/>
      <c r="G17" s="34">
        <v>5457.7670127613537</v>
      </c>
      <c r="H17" s="46"/>
      <c r="I17" s="151">
        <f t="shared" si="1"/>
        <v>14190.194233179522</v>
      </c>
      <c r="J17" s="117">
        <f t="shared" si="1"/>
        <v>0</v>
      </c>
      <c r="K17" s="34">
        <v>5457.7670127613537</v>
      </c>
      <c r="L17" s="4"/>
      <c r="M17" s="34">
        <v>5457.7670127613537</v>
      </c>
      <c r="N17" s="4"/>
      <c r="O17" s="34">
        <v>5457.7670127613537</v>
      </c>
      <c r="P17" s="46"/>
      <c r="Q17" s="151">
        <f t="shared" si="2"/>
        <v>16373.301038284062</v>
      </c>
      <c r="R17" s="117">
        <f t="shared" si="2"/>
        <v>0</v>
      </c>
      <c r="S17" s="151">
        <f t="shared" si="3"/>
        <v>30563.495271463584</v>
      </c>
      <c r="T17" s="117">
        <f t="shared" si="3"/>
        <v>0</v>
      </c>
      <c r="U17" s="34">
        <v>5457.7670127613537</v>
      </c>
      <c r="V17" s="4"/>
      <c r="W17" s="34">
        <v>5457.7670127613537</v>
      </c>
      <c r="X17" s="4"/>
      <c r="Y17" s="44">
        <v>7640.8738178658959</v>
      </c>
      <c r="Z17" s="46"/>
      <c r="AA17" s="151">
        <f t="shared" si="4"/>
        <v>18556.407843388602</v>
      </c>
      <c r="AB17" s="117">
        <f t="shared" si="4"/>
        <v>0</v>
      </c>
      <c r="AC17" s="34">
        <v>7640.8738178658959</v>
      </c>
      <c r="AD17" s="4"/>
      <c r="AE17" s="34">
        <v>7640.8738178658959</v>
      </c>
      <c r="AF17" s="4"/>
      <c r="AG17" s="34">
        <v>9096.2783546022565</v>
      </c>
      <c r="AH17" s="46"/>
      <c r="AI17" s="151">
        <f t="shared" si="5"/>
        <v>24378.025990334048</v>
      </c>
      <c r="AJ17" s="117">
        <f t="shared" si="5"/>
        <v>0</v>
      </c>
      <c r="AK17" s="151">
        <f t="shared" si="6"/>
        <v>42934.433833722651</v>
      </c>
      <c r="AL17" s="117">
        <f t="shared" si="6"/>
        <v>0</v>
      </c>
      <c r="AM17" s="151">
        <f t="shared" si="7"/>
        <v>73497.929105186238</v>
      </c>
      <c r="AN17" s="117">
        <f t="shared" si="0"/>
        <v>0</v>
      </c>
    </row>
    <row r="18" spans="1:40" ht="20.25" customHeight="1" x14ac:dyDescent="0.15">
      <c r="A18" s="23"/>
      <c r="B18" s="6" t="s">
        <v>187</v>
      </c>
      <c r="C18" s="34">
        <v>22569.763297737787</v>
      </c>
      <c r="D18" s="4">
        <f>7910+6460+16800</f>
        <v>31170</v>
      </c>
      <c r="E18" s="34">
        <v>22569.763297737787</v>
      </c>
      <c r="F18" s="4">
        <f>7910+6455-8400-8400</f>
        <v>-2435</v>
      </c>
      <c r="G18" s="34">
        <v>28212.204122172236</v>
      </c>
      <c r="H18" s="46">
        <f>8400-3637</f>
        <v>4763</v>
      </c>
      <c r="I18" s="151">
        <f t="shared" si="1"/>
        <v>73351.730717647806</v>
      </c>
      <c r="J18" s="117">
        <f t="shared" si="1"/>
        <v>33498</v>
      </c>
      <c r="K18" s="34">
        <v>28212.204122172236</v>
      </c>
      <c r="L18" s="4"/>
      <c r="M18" s="34">
        <v>28212.204122172236</v>
      </c>
      <c r="N18" s="4"/>
      <c r="O18" s="34">
        <v>28212.204122172236</v>
      </c>
      <c r="P18" s="46">
        <f>30245+25819+2500</f>
        <v>58564</v>
      </c>
      <c r="Q18" s="151">
        <f t="shared" si="2"/>
        <v>84636.612366516711</v>
      </c>
      <c r="R18" s="117">
        <f t="shared" si="2"/>
        <v>58564</v>
      </c>
      <c r="S18" s="151">
        <f t="shared" si="3"/>
        <v>157988.34308416452</v>
      </c>
      <c r="T18" s="117">
        <f t="shared" si="3"/>
        <v>92062</v>
      </c>
      <c r="U18" s="34">
        <v>28212.204122172236</v>
      </c>
      <c r="V18" s="4">
        <f>12910+6518+6518</f>
        <v>25946</v>
      </c>
      <c r="W18" s="34">
        <v>28212.204122172236</v>
      </c>
      <c r="X18" s="4">
        <f>3637+6510+6460</f>
        <v>16607</v>
      </c>
      <c r="Y18" s="44">
        <v>39497.085771041129</v>
      </c>
      <c r="Z18" s="46">
        <f>6518+6518+6455+2500</f>
        <v>21991</v>
      </c>
      <c r="AA18" s="151">
        <f t="shared" si="4"/>
        <v>95921.494015385601</v>
      </c>
      <c r="AB18" s="117">
        <f t="shared" si="4"/>
        <v>64544</v>
      </c>
      <c r="AC18" s="34">
        <v>39497.085771041129</v>
      </c>
      <c r="AD18" s="4">
        <v>6518</v>
      </c>
      <c r="AE18" s="34">
        <v>39497.085771041129</v>
      </c>
      <c r="AF18" s="4">
        <f>38986+7910+12776+2500+6455</f>
        <v>68627</v>
      </c>
      <c r="AG18" s="34">
        <v>47020.340203620392</v>
      </c>
      <c r="AH18" s="46">
        <f>3472+2500</f>
        <v>5972</v>
      </c>
      <c r="AI18" s="151">
        <f t="shared" si="5"/>
        <v>126014.51174570265</v>
      </c>
      <c r="AJ18" s="117">
        <f t="shared" si="5"/>
        <v>81117</v>
      </c>
      <c r="AK18" s="151">
        <f t="shared" si="6"/>
        <v>221936.00576108825</v>
      </c>
      <c r="AL18" s="117">
        <f t="shared" si="6"/>
        <v>145661</v>
      </c>
      <c r="AM18" s="151">
        <f t="shared" si="7"/>
        <v>379924.34884525277</v>
      </c>
      <c r="AN18" s="117">
        <f t="shared" si="0"/>
        <v>237723</v>
      </c>
    </row>
    <row r="19" spans="1:40" ht="20.25" customHeight="1" thickBot="1" x14ac:dyDescent="0.2">
      <c r="A19" s="23"/>
      <c r="B19" s="6" t="s">
        <v>72</v>
      </c>
      <c r="C19" s="34">
        <v>6132.1081033040055</v>
      </c>
      <c r="D19" s="4"/>
      <c r="E19" s="34">
        <v>6132.1081033040055</v>
      </c>
      <c r="F19" s="4"/>
      <c r="G19" s="34">
        <v>7665.135129130007</v>
      </c>
      <c r="H19" s="46"/>
      <c r="I19" s="151">
        <f t="shared" si="1"/>
        <v>19929.351335738018</v>
      </c>
      <c r="J19" s="117">
        <f t="shared" si="1"/>
        <v>0</v>
      </c>
      <c r="K19" s="34">
        <v>7665.135129130007</v>
      </c>
      <c r="L19" s="4"/>
      <c r="M19" s="34">
        <v>7665.135129130007</v>
      </c>
      <c r="N19" s="4"/>
      <c r="O19" s="34">
        <v>7665.135129130007</v>
      </c>
      <c r="P19" s="46"/>
      <c r="Q19" s="151">
        <f t="shared" si="2"/>
        <v>22995.405387390019</v>
      </c>
      <c r="R19" s="117">
        <f t="shared" si="2"/>
        <v>0</v>
      </c>
      <c r="S19" s="151">
        <f t="shared" si="3"/>
        <v>42924.756723128041</v>
      </c>
      <c r="T19" s="117">
        <f t="shared" si="3"/>
        <v>0</v>
      </c>
      <c r="U19" s="34">
        <v>7665.135129130007</v>
      </c>
      <c r="V19" s="4">
        <v>24520</v>
      </c>
      <c r="W19" s="34">
        <v>7665.135129130007</v>
      </c>
      <c r="X19" s="89"/>
      <c r="Y19" s="44">
        <v>10731.18918078201</v>
      </c>
      <c r="Z19" s="137"/>
      <c r="AA19" s="151">
        <f t="shared" si="4"/>
        <v>26061.459439042024</v>
      </c>
      <c r="AB19" s="117">
        <f t="shared" si="4"/>
        <v>24520</v>
      </c>
      <c r="AC19" s="34">
        <v>10731.18918078201</v>
      </c>
      <c r="AD19" s="4"/>
      <c r="AE19" s="34">
        <v>10731.18918078201</v>
      </c>
      <c r="AF19" s="4">
        <f>956+1267</f>
        <v>2223</v>
      </c>
      <c r="AG19" s="34">
        <v>12775.225215216678</v>
      </c>
      <c r="AH19" s="46"/>
      <c r="AI19" s="151">
        <f t="shared" si="5"/>
        <v>34237.603576780697</v>
      </c>
      <c r="AJ19" s="117">
        <f t="shared" si="5"/>
        <v>2223</v>
      </c>
      <c r="AK19" s="151">
        <f t="shared" si="6"/>
        <v>60299.063015822721</v>
      </c>
      <c r="AL19" s="117">
        <f t="shared" si="6"/>
        <v>26743</v>
      </c>
      <c r="AM19" s="151">
        <f t="shared" si="7"/>
        <v>103223.81973895075</v>
      </c>
      <c r="AN19" s="117">
        <f t="shared" si="0"/>
        <v>26743</v>
      </c>
    </row>
    <row r="20" spans="1:40" ht="20.25" customHeight="1" thickTop="1" thickBot="1" x14ac:dyDescent="0.2">
      <c r="A20" s="24"/>
      <c r="B20" s="7" t="s">
        <v>27</v>
      </c>
      <c r="C20" s="36">
        <f>SUM(C6:C19)</f>
        <v>8996062.0700839106</v>
      </c>
      <c r="D20" s="8">
        <f t="shared" ref="D20:AM20" si="8">SUM(D6:D19)</f>
        <v>7782223</v>
      </c>
      <c r="E20" s="36">
        <f t="shared" si="8"/>
        <v>8996062.0700839106</v>
      </c>
      <c r="F20" s="8">
        <f t="shared" si="8"/>
        <v>8859686</v>
      </c>
      <c r="G20" s="36">
        <f t="shared" si="8"/>
        <v>11245077.587604886</v>
      </c>
      <c r="H20" s="48">
        <f t="shared" si="8"/>
        <v>9516982</v>
      </c>
      <c r="I20" s="36">
        <f t="shared" si="8"/>
        <v>29237201.727772709</v>
      </c>
      <c r="J20" s="8">
        <f t="shared" si="8"/>
        <v>26158891</v>
      </c>
      <c r="K20" s="36">
        <f t="shared" si="8"/>
        <v>11245077.587604886</v>
      </c>
      <c r="L20" s="8">
        <f>SUM(L6:L19)</f>
        <v>9681519</v>
      </c>
      <c r="M20" s="36">
        <f t="shared" si="8"/>
        <v>11245077.587604886</v>
      </c>
      <c r="N20" s="8">
        <f t="shared" si="8"/>
        <v>11885902</v>
      </c>
      <c r="O20" s="36">
        <f t="shared" si="8"/>
        <v>11245077.587604886</v>
      </c>
      <c r="P20" s="48">
        <f t="shared" si="8"/>
        <v>11160217</v>
      </c>
      <c r="Q20" s="36">
        <f t="shared" si="8"/>
        <v>33735232.762814671</v>
      </c>
      <c r="R20" s="8">
        <f t="shared" si="8"/>
        <v>32727638</v>
      </c>
      <c r="S20" s="36">
        <f t="shared" si="8"/>
        <v>62972434.490587376</v>
      </c>
      <c r="T20" s="8">
        <f t="shared" si="8"/>
        <v>58886529</v>
      </c>
      <c r="U20" s="36">
        <f t="shared" si="8"/>
        <v>11245077.587604886</v>
      </c>
      <c r="V20" s="8">
        <f t="shared" si="8"/>
        <v>12305981</v>
      </c>
      <c r="W20" s="36">
        <f t="shared" si="8"/>
        <v>11245077.587604886</v>
      </c>
      <c r="X20" s="8">
        <f t="shared" si="8"/>
        <v>11937510</v>
      </c>
      <c r="Y20" s="36">
        <f t="shared" si="8"/>
        <v>15743108.622646842</v>
      </c>
      <c r="Z20" s="48">
        <f t="shared" si="8"/>
        <v>11697597</v>
      </c>
      <c r="AA20" s="36">
        <f t="shared" si="8"/>
        <v>38233263.797856629</v>
      </c>
      <c r="AB20" s="8">
        <f t="shared" si="8"/>
        <v>35941088</v>
      </c>
      <c r="AC20" s="36">
        <f t="shared" si="8"/>
        <v>15743108.622646842</v>
      </c>
      <c r="AD20" s="8">
        <f t="shared" si="8"/>
        <v>11504797</v>
      </c>
      <c r="AE20" s="36">
        <f t="shared" si="8"/>
        <v>15743108.622646842</v>
      </c>
      <c r="AF20" s="8">
        <f t="shared" si="8"/>
        <v>11757557</v>
      </c>
      <c r="AG20" s="36">
        <f t="shared" si="8"/>
        <v>18741795.979341477</v>
      </c>
      <c r="AH20" s="48">
        <f t="shared" si="8"/>
        <v>11234090</v>
      </c>
      <c r="AI20" s="36">
        <f t="shared" si="8"/>
        <v>50228013.224635169</v>
      </c>
      <c r="AJ20" s="8">
        <f t="shared" si="8"/>
        <v>34496444</v>
      </c>
      <c r="AK20" s="36">
        <f t="shared" si="8"/>
        <v>88461277.022491783</v>
      </c>
      <c r="AL20" s="8">
        <f t="shared" si="8"/>
        <v>70437532</v>
      </c>
      <c r="AM20" s="36">
        <f t="shared" si="8"/>
        <v>151433711.51307917</v>
      </c>
      <c r="AN20" s="8">
        <f t="shared" si="0"/>
        <v>129324061</v>
      </c>
    </row>
    <row r="21" spans="1:40" ht="20.25" customHeight="1" x14ac:dyDescent="0.15">
      <c r="A21" s="218" t="s">
        <v>28</v>
      </c>
      <c r="B21" s="219"/>
      <c r="C21" s="37">
        <f>C5-C20</f>
        <v>3003937.9299160894</v>
      </c>
      <c r="D21" s="9">
        <f t="shared" ref="D21:AM21" si="9">D5-D20</f>
        <v>2921092</v>
      </c>
      <c r="E21" s="37">
        <f t="shared" si="9"/>
        <v>3003937.9299160894</v>
      </c>
      <c r="F21" s="9">
        <f t="shared" si="9"/>
        <v>3374440</v>
      </c>
      <c r="G21" s="37">
        <f t="shared" si="9"/>
        <v>3754922.4123951141</v>
      </c>
      <c r="H21" s="49">
        <f t="shared" si="9"/>
        <v>3321917</v>
      </c>
      <c r="I21" s="37">
        <f t="shared" si="9"/>
        <v>9762798.272227291</v>
      </c>
      <c r="J21" s="9">
        <f t="shared" si="9"/>
        <v>9617449</v>
      </c>
      <c r="K21" s="37">
        <f t="shared" si="9"/>
        <v>3754922.4123951141</v>
      </c>
      <c r="L21" s="9">
        <f t="shared" si="9"/>
        <v>3295068</v>
      </c>
      <c r="M21" s="37">
        <f t="shared" si="9"/>
        <v>3754922.4123951141</v>
      </c>
      <c r="N21" s="9">
        <f t="shared" si="9"/>
        <v>3389806</v>
      </c>
      <c r="O21" s="37">
        <f t="shared" si="9"/>
        <v>3754922.4123951141</v>
      </c>
      <c r="P21" s="49">
        <f t="shared" si="9"/>
        <v>3187878</v>
      </c>
      <c r="Q21" s="37">
        <f t="shared" si="9"/>
        <v>11264767.237185329</v>
      </c>
      <c r="R21" s="9">
        <f t="shared" si="9"/>
        <v>9872752</v>
      </c>
      <c r="S21" s="37">
        <f t="shared" si="9"/>
        <v>21027565.509412624</v>
      </c>
      <c r="T21" s="9">
        <f t="shared" si="9"/>
        <v>19490201</v>
      </c>
      <c r="U21" s="37">
        <f t="shared" si="9"/>
        <v>3754922.4123951141</v>
      </c>
      <c r="V21" s="9">
        <f t="shared" si="9"/>
        <v>3538028</v>
      </c>
      <c r="W21" s="37">
        <f t="shared" si="9"/>
        <v>3754922.4123951141</v>
      </c>
      <c r="X21" s="9">
        <f t="shared" si="9"/>
        <v>3377903</v>
      </c>
      <c r="Y21" s="37">
        <f t="shared" si="9"/>
        <v>5256891.3773531578</v>
      </c>
      <c r="Z21" s="49">
        <f t="shared" si="9"/>
        <v>3190542</v>
      </c>
      <c r="AA21" s="37">
        <f t="shared" si="9"/>
        <v>12766736.202143371</v>
      </c>
      <c r="AB21" s="9">
        <f t="shared" si="9"/>
        <v>10106473</v>
      </c>
      <c r="AC21" s="37">
        <f t="shared" si="9"/>
        <v>5256891.3773531578</v>
      </c>
      <c r="AD21" s="9">
        <f t="shared" si="9"/>
        <v>2890593</v>
      </c>
      <c r="AE21" s="37">
        <f t="shared" si="9"/>
        <v>5256891.3773531578</v>
      </c>
      <c r="AF21" s="9">
        <f t="shared" si="9"/>
        <v>2813992</v>
      </c>
      <c r="AG21" s="37">
        <f t="shared" si="9"/>
        <v>6258204.0206585228</v>
      </c>
      <c r="AH21" s="49">
        <f t="shared" si="9"/>
        <v>2982030</v>
      </c>
      <c r="AI21" s="37">
        <f t="shared" si="9"/>
        <v>16771986.775364831</v>
      </c>
      <c r="AJ21" s="9">
        <f t="shared" si="9"/>
        <v>8686615</v>
      </c>
      <c r="AK21" s="37">
        <f t="shared" si="9"/>
        <v>29538722.977508217</v>
      </c>
      <c r="AL21" s="9">
        <f t="shared" si="9"/>
        <v>18793088</v>
      </c>
      <c r="AM21" s="37">
        <f t="shared" si="9"/>
        <v>50566288.486920834</v>
      </c>
      <c r="AN21" s="9">
        <f t="shared" si="0"/>
        <v>38283289</v>
      </c>
    </row>
    <row r="22" spans="1:40" s="11" customFormat="1" ht="20.25" customHeight="1" thickBot="1" x14ac:dyDescent="0.2">
      <c r="A22" s="210" t="s">
        <v>29</v>
      </c>
      <c r="B22" s="211"/>
      <c r="C22" s="38">
        <f>IF(C5=0,"        ―",C21/C5)</f>
        <v>0.2503281608263408</v>
      </c>
      <c r="D22" s="10">
        <f t="shared" ref="D22:AN22" si="10">IF(D5=0,"        ―",D21/D5)</f>
        <v>0.2729146997916066</v>
      </c>
      <c r="E22" s="38">
        <f t="shared" si="10"/>
        <v>0.2503281608263408</v>
      </c>
      <c r="F22" s="10">
        <f t="shared" si="10"/>
        <v>0.27582190995907674</v>
      </c>
      <c r="G22" s="38">
        <f t="shared" si="10"/>
        <v>0.25032816082634096</v>
      </c>
      <c r="H22" s="50">
        <f t="shared" si="10"/>
        <v>0.25873846347728102</v>
      </c>
      <c r="I22" s="38">
        <f t="shared" si="10"/>
        <v>0.2503281608263408</v>
      </c>
      <c r="J22" s="10">
        <f t="shared" si="10"/>
        <v>0.26882148928593591</v>
      </c>
      <c r="K22" s="38">
        <f t="shared" si="10"/>
        <v>0.25032816082634096</v>
      </c>
      <c r="L22" s="10">
        <f t="shared" si="10"/>
        <v>0.2539240865105748</v>
      </c>
      <c r="M22" s="38">
        <f t="shared" si="10"/>
        <v>0.25032816082634096</v>
      </c>
      <c r="N22" s="10">
        <f t="shared" si="10"/>
        <v>0.22190827423514511</v>
      </c>
      <c r="O22" s="38">
        <f t="shared" si="10"/>
        <v>0.25032816082634096</v>
      </c>
      <c r="P22" s="50">
        <f t="shared" si="10"/>
        <v>0.22218127214797503</v>
      </c>
      <c r="Q22" s="38">
        <f t="shared" si="10"/>
        <v>0.25032816082634063</v>
      </c>
      <c r="R22" s="10">
        <f t="shared" si="10"/>
        <v>0.2317526201051211</v>
      </c>
      <c r="S22" s="38">
        <f t="shared" si="10"/>
        <v>0.25032816082634074</v>
      </c>
      <c r="T22" s="10">
        <f t="shared" si="10"/>
        <v>0.24867331158112874</v>
      </c>
      <c r="U22" s="38">
        <f t="shared" si="10"/>
        <v>0.25032816082634096</v>
      </c>
      <c r="V22" s="10">
        <f t="shared" si="10"/>
        <v>0.22330383680039564</v>
      </c>
      <c r="W22" s="38">
        <f t="shared" si="10"/>
        <v>0.25032816082634096</v>
      </c>
      <c r="X22" s="10">
        <f t="shared" si="10"/>
        <v>0.22055578912563442</v>
      </c>
      <c r="Y22" s="38">
        <f t="shared" si="10"/>
        <v>0.25032816082634085</v>
      </c>
      <c r="Z22" s="50">
        <f t="shared" si="10"/>
        <v>0.21430092773851722</v>
      </c>
      <c r="AA22" s="38">
        <f t="shared" si="10"/>
        <v>0.25032816082634063</v>
      </c>
      <c r="AB22" s="10">
        <f t="shared" si="10"/>
        <v>0.21947900780238935</v>
      </c>
      <c r="AC22" s="38">
        <f t="shared" si="10"/>
        <v>0.25032816082634085</v>
      </c>
      <c r="AD22" s="10">
        <f t="shared" si="10"/>
        <v>0.20079990885971133</v>
      </c>
      <c r="AE22" s="38">
        <f t="shared" si="10"/>
        <v>0.25032816082634085</v>
      </c>
      <c r="AF22" s="10">
        <f t="shared" si="10"/>
        <v>0.19311550199639035</v>
      </c>
      <c r="AG22" s="38">
        <f t="shared" si="10"/>
        <v>0.25032816082634091</v>
      </c>
      <c r="AH22" s="50">
        <f t="shared" si="10"/>
        <v>0.20976398623534409</v>
      </c>
      <c r="AI22" s="38">
        <f t="shared" si="10"/>
        <v>0.25032816082634074</v>
      </c>
      <c r="AJ22" s="10">
        <f t="shared" si="10"/>
        <v>0.20115793556913139</v>
      </c>
      <c r="AK22" s="38">
        <f t="shared" si="10"/>
        <v>0.2503281608263408</v>
      </c>
      <c r="AL22" s="10">
        <f t="shared" si="10"/>
        <v>0.21061254533477408</v>
      </c>
      <c r="AM22" s="38">
        <f t="shared" si="10"/>
        <v>0.25032816082634074</v>
      </c>
      <c r="AN22" s="10">
        <f t="shared" si="10"/>
        <v>0.22841056194731316</v>
      </c>
    </row>
    <row r="23" spans="1:40" ht="20.25" customHeight="1" x14ac:dyDescent="0.15">
      <c r="A23" s="25" t="s">
        <v>30</v>
      </c>
      <c r="B23" s="3" t="s">
        <v>31</v>
      </c>
      <c r="C23" s="34">
        <v>1120000</v>
      </c>
      <c r="D23" s="4">
        <v>1100000</v>
      </c>
      <c r="E23" s="34">
        <v>1120000</v>
      </c>
      <c r="F23" s="4">
        <v>1100000</v>
      </c>
      <c r="G23" s="34">
        <v>1120000</v>
      </c>
      <c r="H23" s="46">
        <v>1120000</v>
      </c>
      <c r="I23" s="151"/>
      <c r="J23" s="117"/>
      <c r="K23" s="34">
        <v>1120000</v>
      </c>
      <c r="L23" s="4">
        <v>1120000</v>
      </c>
      <c r="M23" s="34">
        <v>1120000</v>
      </c>
      <c r="N23" s="4">
        <v>1120000</v>
      </c>
      <c r="O23" s="34">
        <v>1120000</v>
      </c>
      <c r="P23" s="46">
        <v>1120000</v>
      </c>
      <c r="Q23" s="151">
        <f>K23+M23+O23</f>
        <v>3360000</v>
      </c>
      <c r="R23" s="117">
        <f>L23+N23+P23</f>
        <v>3360000</v>
      </c>
      <c r="S23" s="151">
        <f>I23+Q23</f>
        <v>3360000</v>
      </c>
      <c r="T23" s="117">
        <f>J23+R23</f>
        <v>3360000</v>
      </c>
      <c r="U23" s="34">
        <v>1120000</v>
      </c>
      <c r="V23" s="4">
        <v>1120000</v>
      </c>
      <c r="W23" s="34">
        <v>1120000</v>
      </c>
      <c r="X23" s="4">
        <v>1120000</v>
      </c>
      <c r="Y23" s="34">
        <v>1120000</v>
      </c>
      <c r="Z23" s="46">
        <v>1120000</v>
      </c>
      <c r="AA23" s="151"/>
      <c r="AB23" s="117"/>
      <c r="AC23" s="34">
        <v>1120000</v>
      </c>
      <c r="AD23" s="4">
        <v>1120000</v>
      </c>
      <c r="AE23" s="34">
        <v>1120000</v>
      </c>
      <c r="AF23" s="4">
        <v>1120000</v>
      </c>
      <c r="AG23" s="34">
        <v>1120000</v>
      </c>
      <c r="AH23" s="46">
        <v>1120000</v>
      </c>
      <c r="AI23" s="151">
        <f>AC23+AE23+AG23</f>
        <v>3360000</v>
      </c>
      <c r="AJ23" s="117">
        <f>AD23+AF23+AH23</f>
        <v>3360000</v>
      </c>
      <c r="AK23" s="151">
        <f>AA23+AI23</f>
        <v>3360000</v>
      </c>
      <c r="AL23" s="117">
        <f>AB23+AJ23</f>
        <v>3360000</v>
      </c>
      <c r="AM23" s="151">
        <f t="shared" ref="AM23:AM57" si="11">SUM(C23,E23,G23,K23,M23,O23,U23,W23,Y23,AC23,AE23,AG23)</f>
        <v>13440000</v>
      </c>
      <c r="AN23" s="117">
        <f>SUM(D23,F23,H23,L23,N23,P23,V23,X23,Z23,AD23,AF23,AH23)</f>
        <v>13400000</v>
      </c>
    </row>
    <row r="24" spans="1:40" ht="20.25" customHeight="1" x14ac:dyDescent="0.15">
      <c r="A24" s="21" t="s">
        <v>80</v>
      </c>
      <c r="B24" s="5" t="s">
        <v>32</v>
      </c>
      <c r="C24" s="34"/>
      <c r="D24" s="4">
        <v>0</v>
      </c>
      <c r="E24" s="34"/>
      <c r="F24" s="4">
        <v>0</v>
      </c>
      <c r="G24" s="34"/>
      <c r="H24" s="46">
        <v>0</v>
      </c>
      <c r="I24" s="151"/>
      <c r="J24" s="117"/>
      <c r="K24" s="34"/>
      <c r="L24" s="4">
        <v>0</v>
      </c>
      <c r="M24" s="34"/>
      <c r="N24" s="4">
        <v>0</v>
      </c>
      <c r="O24" s="34"/>
      <c r="P24" s="46">
        <v>0</v>
      </c>
      <c r="Q24" s="151">
        <f t="shared" ref="Q24:R31" si="12">K24+M24+O24</f>
        <v>0</v>
      </c>
      <c r="R24" s="117">
        <f t="shared" si="12"/>
        <v>0</v>
      </c>
      <c r="S24" s="151">
        <f t="shared" ref="S24:T31" si="13">I24+Q24</f>
        <v>0</v>
      </c>
      <c r="T24" s="117">
        <f t="shared" si="13"/>
        <v>0</v>
      </c>
      <c r="U24" s="34"/>
      <c r="V24" s="4">
        <v>0</v>
      </c>
      <c r="W24" s="34"/>
      <c r="X24" s="4">
        <v>0</v>
      </c>
      <c r="Y24" s="34"/>
      <c r="Z24" s="46">
        <v>0</v>
      </c>
      <c r="AA24" s="151"/>
      <c r="AB24" s="117"/>
      <c r="AC24" s="34"/>
      <c r="AD24" s="4">
        <v>0</v>
      </c>
      <c r="AE24" s="34"/>
      <c r="AF24" s="4">
        <v>0</v>
      </c>
      <c r="AG24" s="34"/>
      <c r="AH24" s="46">
        <v>0</v>
      </c>
      <c r="AI24" s="151">
        <f t="shared" ref="AI24:AJ31" si="14">AC24+AE24+AG24</f>
        <v>0</v>
      </c>
      <c r="AJ24" s="117">
        <f t="shared" si="14"/>
        <v>0</v>
      </c>
      <c r="AK24" s="151">
        <f t="shared" ref="AK24:AL31" si="15">AA24+AI24</f>
        <v>0</v>
      </c>
      <c r="AL24" s="117">
        <f t="shared" si="15"/>
        <v>0</v>
      </c>
      <c r="AM24" s="151">
        <f t="shared" si="11"/>
        <v>0</v>
      </c>
      <c r="AN24" s="117">
        <f t="shared" ref="AN24:AN62" si="16">SUM(D24,F24,H24,L24,N24,P24,V24,X24,Z24,AD24,AF24,AH24)</f>
        <v>0</v>
      </c>
    </row>
    <row r="25" spans="1:40" ht="20.25" customHeight="1" x14ac:dyDescent="0.15">
      <c r="A25" s="23"/>
      <c r="B25" s="5" t="s">
        <v>33</v>
      </c>
      <c r="C25" s="34"/>
      <c r="D25" s="4">
        <v>0</v>
      </c>
      <c r="E25" s="34"/>
      <c r="F25" s="4">
        <v>0</v>
      </c>
      <c r="G25" s="34"/>
      <c r="H25" s="46">
        <v>0</v>
      </c>
      <c r="I25" s="151"/>
      <c r="J25" s="117"/>
      <c r="K25" s="34"/>
      <c r="L25" s="4">
        <v>0</v>
      </c>
      <c r="M25" s="34"/>
      <c r="N25" s="4">
        <v>0</v>
      </c>
      <c r="O25" s="34"/>
      <c r="P25" s="46">
        <v>0</v>
      </c>
      <c r="Q25" s="151">
        <f t="shared" si="12"/>
        <v>0</v>
      </c>
      <c r="R25" s="117">
        <f t="shared" si="12"/>
        <v>0</v>
      </c>
      <c r="S25" s="151">
        <f t="shared" si="13"/>
        <v>0</v>
      </c>
      <c r="T25" s="117">
        <f t="shared" si="13"/>
        <v>0</v>
      </c>
      <c r="U25" s="34"/>
      <c r="V25" s="4">
        <v>0</v>
      </c>
      <c r="W25" s="34"/>
      <c r="X25" s="4">
        <v>0</v>
      </c>
      <c r="Y25" s="34"/>
      <c r="Z25" s="46">
        <v>0</v>
      </c>
      <c r="AA25" s="151"/>
      <c r="AB25" s="117"/>
      <c r="AC25" s="34"/>
      <c r="AD25" s="4">
        <v>0</v>
      </c>
      <c r="AE25" s="34"/>
      <c r="AF25" s="4">
        <v>1400000</v>
      </c>
      <c r="AG25" s="34"/>
      <c r="AH25" s="46">
        <v>0</v>
      </c>
      <c r="AI25" s="151">
        <f t="shared" si="14"/>
        <v>0</v>
      </c>
      <c r="AJ25" s="117">
        <f t="shared" si="14"/>
        <v>1400000</v>
      </c>
      <c r="AK25" s="151">
        <f t="shared" si="15"/>
        <v>0</v>
      </c>
      <c r="AL25" s="117">
        <f t="shared" si="15"/>
        <v>1400000</v>
      </c>
      <c r="AM25" s="151">
        <f t="shared" si="11"/>
        <v>0</v>
      </c>
      <c r="AN25" s="117">
        <f t="shared" si="16"/>
        <v>1400000</v>
      </c>
    </row>
    <row r="26" spans="1:40" ht="20.25" customHeight="1" x14ac:dyDescent="0.15">
      <c r="A26" s="23"/>
      <c r="B26" s="5" t="s">
        <v>22</v>
      </c>
      <c r="C26" s="34">
        <v>60242.763636363634</v>
      </c>
      <c r="D26" s="4">
        <v>59167</v>
      </c>
      <c r="E26" s="34">
        <v>60242.763636363634</v>
      </c>
      <c r="F26" s="4">
        <v>58765</v>
      </c>
      <c r="G26" s="34">
        <v>60242.763636363634</v>
      </c>
      <c r="H26" s="46">
        <v>58765</v>
      </c>
      <c r="I26" s="151"/>
      <c r="J26" s="117"/>
      <c r="K26" s="34">
        <v>60242.763636363634</v>
      </c>
      <c r="L26" s="4">
        <v>58765</v>
      </c>
      <c r="M26" s="34">
        <v>60242.763636363634</v>
      </c>
      <c r="N26" s="4">
        <v>58765</v>
      </c>
      <c r="O26" s="34">
        <v>60242.763636363634</v>
      </c>
      <c r="P26" s="46">
        <v>58765</v>
      </c>
      <c r="Q26" s="151">
        <f t="shared" si="12"/>
        <v>180728.29090909089</v>
      </c>
      <c r="R26" s="117">
        <f t="shared" si="12"/>
        <v>176295</v>
      </c>
      <c r="S26" s="151">
        <f t="shared" si="13"/>
        <v>180728.29090909089</v>
      </c>
      <c r="T26" s="117">
        <f t="shared" si="13"/>
        <v>176295</v>
      </c>
      <c r="U26" s="34">
        <v>60242.763636363634</v>
      </c>
      <c r="V26" s="4">
        <v>58765</v>
      </c>
      <c r="W26" s="34">
        <v>60242.763636363634</v>
      </c>
      <c r="X26" s="4">
        <v>57232</v>
      </c>
      <c r="Y26" s="34">
        <v>60242.763636363634</v>
      </c>
      <c r="Z26" s="46">
        <v>57232</v>
      </c>
      <c r="AA26" s="151"/>
      <c r="AB26" s="117"/>
      <c r="AC26" s="34">
        <v>60242.763636363634</v>
      </c>
      <c r="AD26" s="4">
        <v>57232</v>
      </c>
      <c r="AE26" s="34">
        <v>60242.763636363634</v>
      </c>
      <c r="AF26" s="4">
        <v>57232</v>
      </c>
      <c r="AG26" s="34">
        <v>60242.763636363634</v>
      </c>
      <c r="AH26" s="46">
        <v>57232</v>
      </c>
      <c r="AI26" s="151">
        <f t="shared" si="14"/>
        <v>180728.29090909089</v>
      </c>
      <c r="AJ26" s="117">
        <f t="shared" si="14"/>
        <v>171696</v>
      </c>
      <c r="AK26" s="151">
        <f t="shared" si="15"/>
        <v>180728.29090909089</v>
      </c>
      <c r="AL26" s="117">
        <f t="shared" si="15"/>
        <v>171696</v>
      </c>
      <c r="AM26" s="151">
        <f t="shared" si="11"/>
        <v>722913.16363636369</v>
      </c>
      <c r="AN26" s="117">
        <f t="shared" si="16"/>
        <v>697917</v>
      </c>
    </row>
    <row r="27" spans="1:40" ht="20.25" customHeight="1" x14ac:dyDescent="0.15">
      <c r="A27" s="23"/>
      <c r="B27" s="5" t="s">
        <v>67</v>
      </c>
      <c r="C27" s="34">
        <v>10538.181818181818</v>
      </c>
      <c r="D27" s="4">
        <v>10350</v>
      </c>
      <c r="E27" s="34">
        <v>10538.181818181818</v>
      </c>
      <c r="F27" s="4">
        <v>9430</v>
      </c>
      <c r="G27" s="34">
        <v>10538.181818181818</v>
      </c>
      <c r="H27" s="46">
        <v>9430</v>
      </c>
      <c r="I27" s="151"/>
      <c r="J27" s="117"/>
      <c r="K27" s="34">
        <v>10538.181818181818</v>
      </c>
      <c r="L27" s="4">
        <v>9430</v>
      </c>
      <c r="M27" s="34">
        <v>10538.181818181818</v>
      </c>
      <c r="N27" s="4">
        <v>9430</v>
      </c>
      <c r="O27" s="34">
        <v>10538.181818181818</v>
      </c>
      <c r="P27" s="46">
        <v>9430</v>
      </c>
      <c r="Q27" s="151">
        <f t="shared" si="12"/>
        <v>31614.545454545456</v>
      </c>
      <c r="R27" s="117">
        <f t="shared" si="12"/>
        <v>28290</v>
      </c>
      <c r="S27" s="151">
        <f t="shared" si="13"/>
        <v>31614.545454545456</v>
      </c>
      <c r="T27" s="117">
        <f t="shared" si="13"/>
        <v>28290</v>
      </c>
      <c r="U27" s="34">
        <v>10538.181818181818</v>
      </c>
      <c r="V27" s="4">
        <v>9430</v>
      </c>
      <c r="W27" s="34">
        <v>10538.181818181818</v>
      </c>
      <c r="X27" s="4">
        <v>9184</v>
      </c>
      <c r="Y27" s="34">
        <v>10538.181818181818</v>
      </c>
      <c r="Z27" s="46">
        <v>9184</v>
      </c>
      <c r="AA27" s="151"/>
      <c r="AB27" s="117"/>
      <c r="AC27" s="34">
        <v>10538.181818181818</v>
      </c>
      <c r="AD27" s="4">
        <v>9184</v>
      </c>
      <c r="AE27" s="34">
        <v>10538.181818181818</v>
      </c>
      <c r="AF27" s="4">
        <v>9184</v>
      </c>
      <c r="AG27" s="34">
        <v>10538.181818181818</v>
      </c>
      <c r="AH27" s="46">
        <v>9184</v>
      </c>
      <c r="AI27" s="151">
        <f t="shared" si="14"/>
        <v>31614.545454545456</v>
      </c>
      <c r="AJ27" s="117">
        <f t="shared" si="14"/>
        <v>27552</v>
      </c>
      <c r="AK27" s="151">
        <f t="shared" si="15"/>
        <v>31614.545454545456</v>
      </c>
      <c r="AL27" s="117">
        <f t="shared" si="15"/>
        <v>27552</v>
      </c>
      <c r="AM27" s="151">
        <f t="shared" si="11"/>
        <v>126458.18181818184</v>
      </c>
      <c r="AN27" s="117">
        <f t="shared" si="16"/>
        <v>112850</v>
      </c>
    </row>
    <row r="28" spans="1:40" ht="20.25" customHeight="1" x14ac:dyDescent="0.15">
      <c r="A28" s="23"/>
      <c r="B28" s="5" t="s">
        <v>23</v>
      </c>
      <c r="C28" s="34">
        <v>101548.36363636363</v>
      </c>
      <c r="D28" s="4">
        <v>99735</v>
      </c>
      <c r="E28" s="34">
        <v>101548.36363636363</v>
      </c>
      <c r="F28" s="4">
        <v>99735</v>
      </c>
      <c r="G28" s="34">
        <v>101548.36363636363</v>
      </c>
      <c r="H28" s="46">
        <v>99735</v>
      </c>
      <c r="I28" s="151"/>
      <c r="J28" s="117"/>
      <c r="K28" s="34">
        <v>101548.36363636363</v>
      </c>
      <c r="L28" s="4">
        <v>99735</v>
      </c>
      <c r="M28" s="34">
        <v>101548.36363636363</v>
      </c>
      <c r="N28" s="4">
        <v>99735</v>
      </c>
      <c r="O28" s="34">
        <v>101548.36363636363</v>
      </c>
      <c r="P28" s="46">
        <v>99735</v>
      </c>
      <c r="Q28" s="151">
        <f t="shared" si="12"/>
        <v>304645.09090909088</v>
      </c>
      <c r="R28" s="117">
        <f t="shared" si="12"/>
        <v>299205</v>
      </c>
      <c r="S28" s="151">
        <f t="shared" si="13"/>
        <v>304645.09090909088</v>
      </c>
      <c r="T28" s="117">
        <f t="shared" si="13"/>
        <v>299205</v>
      </c>
      <c r="U28" s="34">
        <v>101548.36363636363</v>
      </c>
      <c r="V28" s="4">
        <v>99735</v>
      </c>
      <c r="W28" s="34">
        <v>101548.36363636363</v>
      </c>
      <c r="X28" s="4">
        <v>99735</v>
      </c>
      <c r="Y28" s="34">
        <v>101548.36363636363</v>
      </c>
      <c r="Z28" s="46">
        <v>99735</v>
      </c>
      <c r="AA28" s="151"/>
      <c r="AB28" s="117"/>
      <c r="AC28" s="34">
        <v>101548.36363636363</v>
      </c>
      <c r="AD28" s="4">
        <v>99735</v>
      </c>
      <c r="AE28" s="34">
        <v>101548.36363636363</v>
      </c>
      <c r="AF28" s="4">
        <v>99735</v>
      </c>
      <c r="AG28" s="34">
        <v>101548.36363636363</v>
      </c>
      <c r="AH28" s="46">
        <v>99735</v>
      </c>
      <c r="AI28" s="151">
        <f t="shared" si="14"/>
        <v>304645.09090909088</v>
      </c>
      <c r="AJ28" s="117">
        <f t="shared" si="14"/>
        <v>299205</v>
      </c>
      <c r="AK28" s="151">
        <f t="shared" si="15"/>
        <v>304645.09090909088</v>
      </c>
      <c r="AL28" s="117">
        <f t="shared" si="15"/>
        <v>299205</v>
      </c>
      <c r="AM28" s="151">
        <f t="shared" si="11"/>
        <v>1218580.3636363635</v>
      </c>
      <c r="AN28" s="117">
        <f t="shared" si="16"/>
        <v>1196820</v>
      </c>
    </row>
    <row r="29" spans="1:40" ht="20.25" customHeight="1" x14ac:dyDescent="0.15">
      <c r="A29" s="23"/>
      <c r="B29" s="5" t="s">
        <v>24</v>
      </c>
      <c r="C29" s="34">
        <v>3456.7272727272725</v>
      </c>
      <c r="D29" s="4">
        <v>6744</v>
      </c>
      <c r="E29" s="34">
        <v>3456.7272727272725</v>
      </c>
      <c r="F29" s="4">
        <v>6744</v>
      </c>
      <c r="G29" s="34">
        <v>3456.7272727272725</v>
      </c>
      <c r="H29" s="46">
        <v>6864</v>
      </c>
      <c r="I29" s="151"/>
      <c r="J29" s="117"/>
      <c r="K29" s="34">
        <v>3456.7272727272725</v>
      </c>
      <c r="L29" s="4">
        <v>6864</v>
      </c>
      <c r="M29" s="34">
        <v>3456.7272727272725</v>
      </c>
      <c r="N29" s="4">
        <v>6864</v>
      </c>
      <c r="O29" s="34">
        <v>3456.7272727272725</v>
      </c>
      <c r="P29" s="46">
        <v>6864</v>
      </c>
      <c r="Q29" s="151">
        <f t="shared" si="12"/>
        <v>10370.181818181818</v>
      </c>
      <c r="R29" s="117">
        <f t="shared" si="12"/>
        <v>20592</v>
      </c>
      <c r="S29" s="151">
        <f t="shared" si="13"/>
        <v>10370.181818181818</v>
      </c>
      <c r="T29" s="117">
        <f t="shared" si="13"/>
        <v>20592</v>
      </c>
      <c r="U29" s="34">
        <v>3456.7272727272725</v>
      </c>
      <c r="V29" s="4">
        <v>6864</v>
      </c>
      <c r="W29" s="34">
        <v>3456.7272727272725</v>
      </c>
      <c r="X29" s="4">
        <v>11440</v>
      </c>
      <c r="Y29" s="34">
        <v>3456.7272727272725</v>
      </c>
      <c r="Z29" s="46">
        <v>11440</v>
      </c>
      <c r="AA29" s="151"/>
      <c r="AB29" s="117"/>
      <c r="AC29" s="34">
        <v>3456.7272727272725</v>
      </c>
      <c r="AD29" s="4">
        <v>11440</v>
      </c>
      <c r="AE29" s="34">
        <v>3456.7272727272725</v>
      </c>
      <c r="AF29" s="4">
        <v>11440</v>
      </c>
      <c r="AG29" s="34">
        <v>3456.7272727272725</v>
      </c>
      <c r="AH29" s="46">
        <v>11440</v>
      </c>
      <c r="AI29" s="151">
        <f t="shared" si="14"/>
        <v>10370.181818181818</v>
      </c>
      <c r="AJ29" s="117">
        <f t="shared" si="14"/>
        <v>34320</v>
      </c>
      <c r="AK29" s="151">
        <f t="shared" si="15"/>
        <v>10370.181818181818</v>
      </c>
      <c r="AL29" s="117">
        <f t="shared" si="15"/>
        <v>34320</v>
      </c>
      <c r="AM29" s="151">
        <f t="shared" si="11"/>
        <v>41480.727272727272</v>
      </c>
      <c r="AN29" s="117">
        <f t="shared" si="16"/>
        <v>105008</v>
      </c>
    </row>
    <row r="30" spans="1:40" ht="20.25" customHeight="1" x14ac:dyDescent="0.15">
      <c r="A30" s="23"/>
      <c r="B30" s="5" t="s">
        <v>25</v>
      </c>
      <c r="C30" s="34">
        <v>3494.413019971731</v>
      </c>
      <c r="D30" s="4">
        <v>3372.21</v>
      </c>
      <c r="E30" s="34">
        <v>3494.413019971731</v>
      </c>
      <c r="F30" s="4">
        <v>3372.21</v>
      </c>
      <c r="G30" s="34">
        <v>3494.413019971731</v>
      </c>
      <c r="H30" s="46">
        <v>3432.21</v>
      </c>
      <c r="I30" s="151"/>
      <c r="J30" s="117"/>
      <c r="K30" s="34">
        <v>3494.413019971731</v>
      </c>
      <c r="L30" s="4">
        <v>3432.21</v>
      </c>
      <c r="M30" s="34">
        <v>3494.413019971731</v>
      </c>
      <c r="N30" s="4">
        <v>3432.21</v>
      </c>
      <c r="O30" s="34">
        <v>3494.413019971731</v>
      </c>
      <c r="P30" s="46">
        <v>3432.21</v>
      </c>
      <c r="Q30" s="151">
        <f t="shared" si="12"/>
        <v>10483.239059915193</v>
      </c>
      <c r="R30" s="117">
        <f t="shared" si="12"/>
        <v>10296.630000000001</v>
      </c>
      <c r="S30" s="151">
        <f t="shared" si="13"/>
        <v>10483.239059915193</v>
      </c>
      <c r="T30" s="117">
        <f t="shared" si="13"/>
        <v>10296.630000000001</v>
      </c>
      <c r="U30" s="34">
        <v>3494.413019971731</v>
      </c>
      <c r="V30" s="4">
        <v>3432.21</v>
      </c>
      <c r="W30" s="34">
        <v>3494.413019971731</v>
      </c>
      <c r="X30" s="4">
        <v>3432.21</v>
      </c>
      <c r="Y30" s="34">
        <v>3494.413019971731</v>
      </c>
      <c r="Z30" s="46">
        <v>3432.21</v>
      </c>
      <c r="AA30" s="151"/>
      <c r="AB30" s="117"/>
      <c r="AC30" s="34">
        <v>3494.413019971731</v>
      </c>
      <c r="AD30" s="4">
        <v>3432.21</v>
      </c>
      <c r="AE30" s="34">
        <v>3494.413019971731</v>
      </c>
      <c r="AF30" s="4">
        <v>3432.21</v>
      </c>
      <c r="AG30" s="34">
        <v>3494.413019971731</v>
      </c>
      <c r="AH30" s="46">
        <v>3432.21</v>
      </c>
      <c r="AI30" s="151">
        <f t="shared" si="14"/>
        <v>10483.239059915193</v>
      </c>
      <c r="AJ30" s="117">
        <f t="shared" si="14"/>
        <v>10296.630000000001</v>
      </c>
      <c r="AK30" s="151">
        <f t="shared" si="15"/>
        <v>10483.239059915193</v>
      </c>
      <c r="AL30" s="117">
        <f t="shared" si="15"/>
        <v>10296.630000000001</v>
      </c>
      <c r="AM30" s="151">
        <f t="shared" si="11"/>
        <v>41932.956239660787</v>
      </c>
      <c r="AN30" s="117">
        <f t="shared" si="16"/>
        <v>41066.519999999997</v>
      </c>
    </row>
    <row r="31" spans="1:40" ht="20.25" customHeight="1" thickBot="1" x14ac:dyDescent="0.2">
      <c r="A31" s="23"/>
      <c r="B31" s="6" t="s">
        <v>26</v>
      </c>
      <c r="C31" s="34">
        <v>31620</v>
      </c>
      <c r="D31" s="4">
        <v>24070</v>
      </c>
      <c r="E31" s="34">
        <v>31620</v>
      </c>
      <c r="F31" s="4">
        <v>24070</v>
      </c>
      <c r="G31" s="34">
        <v>31620</v>
      </c>
      <c r="H31" s="46">
        <v>24070</v>
      </c>
      <c r="I31" s="151"/>
      <c r="J31" s="117"/>
      <c r="K31" s="34">
        <v>31620</v>
      </c>
      <c r="L31" s="4">
        <v>24070</v>
      </c>
      <c r="M31" s="34">
        <v>31620</v>
      </c>
      <c r="N31" s="4">
        <v>24070</v>
      </c>
      <c r="O31" s="34">
        <v>31620</v>
      </c>
      <c r="P31" s="46">
        <v>24070</v>
      </c>
      <c r="Q31" s="151">
        <f t="shared" si="12"/>
        <v>94860</v>
      </c>
      <c r="R31" s="117">
        <f>L31+N31+P31</f>
        <v>72210</v>
      </c>
      <c r="S31" s="151">
        <f t="shared" si="13"/>
        <v>94860</v>
      </c>
      <c r="T31" s="117">
        <f t="shared" si="13"/>
        <v>72210</v>
      </c>
      <c r="U31" s="34">
        <v>31620</v>
      </c>
      <c r="V31" s="4">
        <v>24070</v>
      </c>
      <c r="W31" s="34">
        <v>31620</v>
      </c>
      <c r="X31" s="4">
        <v>24070</v>
      </c>
      <c r="Y31" s="34">
        <v>31620</v>
      </c>
      <c r="Z31" s="46">
        <v>24070</v>
      </c>
      <c r="AA31" s="151"/>
      <c r="AB31" s="117"/>
      <c r="AC31" s="34">
        <v>31620</v>
      </c>
      <c r="AD31" s="4">
        <v>24070</v>
      </c>
      <c r="AE31" s="34">
        <v>31620</v>
      </c>
      <c r="AF31" s="4">
        <v>24070</v>
      </c>
      <c r="AG31" s="34">
        <v>31620</v>
      </c>
      <c r="AH31" s="46">
        <v>24070</v>
      </c>
      <c r="AI31" s="151">
        <f t="shared" si="14"/>
        <v>94860</v>
      </c>
      <c r="AJ31" s="117">
        <f>AD31+AF31+AH31</f>
        <v>72210</v>
      </c>
      <c r="AK31" s="151">
        <f t="shared" si="15"/>
        <v>94860</v>
      </c>
      <c r="AL31" s="117">
        <f t="shared" si="15"/>
        <v>72210</v>
      </c>
      <c r="AM31" s="151">
        <f t="shared" si="11"/>
        <v>379440</v>
      </c>
      <c r="AN31" s="117">
        <f t="shared" si="16"/>
        <v>288840</v>
      </c>
    </row>
    <row r="32" spans="1:40" ht="20.25" customHeight="1" thickTop="1" thickBot="1" x14ac:dyDescent="0.2">
      <c r="A32" s="24"/>
      <c r="B32" s="12" t="s">
        <v>27</v>
      </c>
      <c r="C32" s="39">
        <f>SUM(C23:C31)</f>
        <v>1330900.4493836081</v>
      </c>
      <c r="D32" s="13">
        <f>SUM(D23:D31)</f>
        <v>1303438.21</v>
      </c>
      <c r="E32" s="39">
        <f t="shared" ref="E32:AM32" si="17">SUM(E23:E31)</f>
        <v>1330900.4493836081</v>
      </c>
      <c r="F32" s="13">
        <f t="shared" si="17"/>
        <v>1302116.21</v>
      </c>
      <c r="G32" s="39">
        <f t="shared" si="17"/>
        <v>1330900.4493836081</v>
      </c>
      <c r="H32" s="51">
        <f t="shared" si="17"/>
        <v>1322296.21</v>
      </c>
      <c r="I32" s="39">
        <f t="shared" si="17"/>
        <v>0</v>
      </c>
      <c r="J32" s="13">
        <f t="shared" si="17"/>
        <v>0</v>
      </c>
      <c r="K32" s="39">
        <f t="shared" si="17"/>
        <v>1330900.4493836081</v>
      </c>
      <c r="L32" s="13">
        <f t="shared" si="17"/>
        <v>1322296.21</v>
      </c>
      <c r="M32" s="39">
        <f t="shared" si="17"/>
        <v>1330900.4493836081</v>
      </c>
      <c r="N32" s="13">
        <f t="shared" si="17"/>
        <v>1322296.21</v>
      </c>
      <c r="O32" s="39">
        <f t="shared" si="17"/>
        <v>1330900.4493836081</v>
      </c>
      <c r="P32" s="51">
        <f t="shared" si="17"/>
        <v>1322296.21</v>
      </c>
      <c r="Q32" s="39">
        <f t="shared" si="17"/>
        <v>3992701.3481508242</v>
      </c>
      <c r="R32" s="13">
        <f t="shared" si="17"/>
        <v>3966888.63</v>
      </c>
      <c r="S32" s="39">
        <f t="shared" si="17"/>
        <v>3992701.3481508242</v>
      </c>
      <c r="T32" s="13">
        <f t="shared" si="17"/>
        <v>3966888.63</v>
      </c>
      <c r="U32" s="39">
        <f t="shared" si="17"/>
        <v>1330900.4493836081</v>
      </c>
      <c r="V32" s="13">
        <f t="shared" si="17"/>
        <v>1322296.21</v>
      </c>
      <c r="W32" s="39">
        <f t="shared" si="17"/>
        <v>1330900.4493836081</v>
      </c>
      <c r="X32" s="13">
        <f t="shared" si="17"/>
        <v>1325093.21</v>
      </c>
      <c r="Y32" s="39">
        <f t="shared" si="17"/>
        <v>1330900.4493836081</v>
      </c>
      <c r="Z32" s="51">
        <f t="shared" si="17"/>
        <v>1325093.21</v>
      </c>
      <c r="AA32" s="39">
        <f t="shared" si="17"/>
        <v>0</v>
      </c>
      <c r="AB32" s="13">
        <f t="shared" si="17"/>
        <v>0</v>
      </c>
      <c r="AC32" s="39">
        <f t="shared" si="17"/>
        <v>1330900.4493836081</v>
      </c>
      <c r="AD32" s="13">
        <f t="shared" si="17"/>
        <v>1325093.21</v>
      </c>
      <c r="AE32" s="39">
        <f t="shared" si="17"/>
        <v>1330900.4493836081</v>
      </c>
      <c r="AF32" s="13">
        <f t="shared" si="17"/>
        <v>2725093.21</v>
      </c>
      <c r="AG32" s="39">
        <f t="shared" si="17"/>
        <v>1330900.4493836081</v>
      </c>
      <c r="AH32" s="51">
        <f t="shared" si="17"/>
        <v>1325093.21</v>
      </c>
      <c r="AI32" s="39">
        <f t="shared" si="17"/>
        <v>3992701.3481508242</v>
      </c>
      <c r="AJ32" s="13">
        <f t="shared" si="17"/>
        <v>5375279.6299999999</v>
      </c>
      <c r="AK32" s="39">
        <f t="shared" si="17"/>
        <v>3992701.3481508242</v>
      </c>
      <c r="AL32" s="13">
        <f t="shared" si="17"/>
        <v>5375279.6299999999</v>
      </c>
      <c r="AM32" s="39">
        <f t="shared" si="17"/>
        <v>15970805.392603297</v>
      </c>
      <c r="AN32" s="13">
        <f t="shared" si="16"/>
        <v>17242501.520000003</v>
      </c>
    </row>
    <row r="33" spans="1:40" ht="20.25" customHeight="1" x14ac:dyDescent="0.15">
      <c r="A33" s="25" t="s">
        <v>34</v>
      </c>
      <c r="B33" s="3" t="s">
        <v>35</v>
      </c>
      <c r="C33" s="34">
        <v>0</v>
      </c>
      <c r="D33" s="4"/>
      <c r="E33" s="34">
        <v>0</v>
      </c>
      <c r="F33" s="4"/>
      <c r="G33" s="34">
        <v>0</v>
      </c>
      <c r="H33" s="46"/>
      <c r="I33" s="151"/>
      <c r="J33" s="117"/>
      <c r="K33" s="34">
        <v>0</v>
      </c>
      <c r="L33" s="4"/>
      <c r="M33" s="34">
        <v>0</v>
      </c>
      <c r="N33" s="4"/>
      <c r="O33" s="34">
        <v>0</v>
      </c>
      <c r="P33" s="46"/>
      <c r="Q33" s="151"/>
      <c r="R33" s="117"/>
      <c r="S33" s="151"/>
      <c r="T33" s="117"/>
      <c r="U33" s="34">
        <v>0</v>
      </c>
      <c r="V33" s="4"/>
      <c r="W33" s="34">
        <v>0</v>
      </c>
      <c r="X33" s="4"/>
      <c r="Y33" s="34">
        <v>0</v>
      </c>
      <c r="Z33" s="46"/>
      <c r="AA33" s="151"/>
      <c r="AB33" s="117"/>
      <c r="AC33" s="34">
        <v>0</v>
      </c>
      <c r="AD33" s="4"/>
      <c r="AE33" s="34">
        <v>0</v>
      </c>
      <c r="AF33" s="4"/>
      <c r="AG33" s="34">
        <v>0</v>
      </c>
      <c r="AH33" s="46"/>
      <c r="AI33" s="151">
        <f>AC33+AE33+AG33</f>
        <v>0</v>
      </c>
      <c r="AJ33" s="117">
        <f>AD33+AF33+AH33</f>
        <v>0</v>
      </c>
      <c r="AK33" s="151">
        <f t="shared" ref="AK33:AL57" si="18">AA33+AI33</f>
        <v>0</v>
      </c>
      <c r="AL33" s="117">
        <f t="shared" si="18"/>
        <v>0</v>
      </c>
      <c r="AM33" s="151">
        <f t="shared" si="11"/>
        <v>0</v>
      </c>
      <c r="AN33" s="117">
        <f t="shared" si="16"/>
        <v>0</v>
      </c>
    </row>
    <row r="34" spans="1:40" ht="20.25" customHeight="1" x14ac:dyDescent="0.15">
      <c r="A34" s="23"/>
      <c r="B34" s="5" t="s">
        <v>36</v>
      </c>
      <c r="C34" s="34">
        <v>3000</v>
      </c>
      <c r="D34" s="4"/>
      <c r="E34" s="34">
        <v>3000</v>
      </c>
      <c r="F34" s="4"/>
      <c r="G34" s="34">
        <v>3000</v>
      </c>
      <c r="H34" s="46"/>
      <c r="I34" s="151"/>
      <c r="J34" s="117"/>
      <c r="K34" s="34">
        <v>3000</v>
      </c>
      <c r="L34" s="4"/>
      <c r="M34" s="34">
        <v>3000</v>
      </c>
      <c r="N34" s="4"/>
      <c r="O34" s="34">
        <v>3000</v>
      </c>
      <c r="P34" s="46">
        <v>3310</v>
      </c>
      <c r="Q34" s="151"/>
      <c r="R34" s="117"/>
      <c r="S34" s="151"/>
      <c r="T34" s="117"/>
      <c r="U34" s="34">
        <v>3000</v>
      </c>
      <c r="V34" s="4"/>
      <c r="W34" s="34">
        <v>3000</v>
      </c>
      <c r="X34" s="4"/>
      <c r="Y34" s="34">
        <v>3000</v>
      </c>
      <c r="Z34" s="46"/>
      <c r="AA34" s="151"/>
      <c r="AB34" s="117"/>
      <c r="AC34" s="34">
        <v>3000</v>
      </c>
      <c r="AD34" s="4"/>
      <c r="AE34" s="34">
        <v>3000</v>
      </c>
      <c r="AF34" s="4"/>
      <c r="AG34" s="34">
        <v>3000</v>
      </c>
      <c r="AH34" s="46"/>
      <c r="AI34" s="151">
        <f t="shared" ref="AI34:AJ57" si="19">AC34+AE34+AG34</f>
        <v>9000</v>
      </c>
      <c r="AJ34" s="117">
        <f t="shared" si="19"/>
        <v>0</v>
      </c>
      <c r="AK34" s="151">
        <f t="shared" si="18"/>
        <v>9000</v>
      </c>
      <c r="AL34" s="117">
        <f t="shared" si="18"/>
        <v>0</v>
      </c>
      <c r="AM34" s="151">
        <f t="shared" si="11"/>
        <v>36000</v>
      </c>
      <c r="AN34" s="117">
        <f t="shared" si="16"/>
        <v>3310</v>
      </c>
    </row>
    <row r="35" spans="1:40" ht="20.25" customHeight="1" x14ac:dyDescent="0.15">
      <c r="A35" s="23"/>
      <c r="B35" s="5" t="s">
        <v>37</v>
      </c>
      <c r="C35" s="34">
        <v>65000</v>
      </c>
      <c r="D35" s="4">
        <v>75462</v>
      </c>
      <c r="E35" s="34">
        <v>65000</v>
      </c>
      <c r="F35" s="4">
        <v>75462</v>
      </c>
      <c r="G35" s="34">
        <v>65000</v>
      </c>
      <c r="H35" s="46">
        <v>75462</v>
      </c>
      <c r="I35" s="151"/>
      <c r="J35" s="117"/>
      <c r="K35" s="34">
        <v>65000</v>
      </c>
      <c r="L35" s="4">
        <v>75462</v>
      </c>
      <c r="M35" s="34">
        <v>65000</v>
      </c>
      <c r="N35" s="4">
        <v>75462</v>
      </c>
      <c r="O35" s="34">
        <v>65000</v>
      </c>
      <c r="P35" s="46">
        <v>75462</v>
      </c>
      <c r="Q35" s="151"/>
      <c r="R35" s="117"/>
      <c r="S35" s="151"/>
      <c r="T35" s="117"/>
      <c r="U35" s="34">
        <v>65000</v>
      </c>
      <c r="V35" s="4">
        <v>75462</v>
      </c>
      <c r="W35" s="34">
        <v>65000</v>
      </c>
      <c r="X35" s="4">
        <v>75462</v>
      </c>
      <c r="Y35" s="34">
        <v>65000</v>
      </c>
      <c r="Z35" s="46">
        <v>75462</v>
      </c>
      <c r="AA35" s="151"/>
      <c r="AB35" s="117"/>
      <c r="AC35" s="34">
        <v>65000</v>
      </c>
      <c r="AD35" s="4">
        <v>75462</v>
      </c>
      <c r="AE35" s="34">
        <v>65000</v>
      </c>
      <c r="AF35" s="4">
        <v>75462</v>
      </c>
      <c r="AG35" s="34">
        <v>65000</v>
      </c>
      <c r="AH35" s="46">
        <v>75462</v>
      </c>
      <c r="AI35" s="151">
        <f t="shared" si="19"/>
        <v>195000</v>
      </c>
      <c r="AJ35" s="117">
        <f t="shared" si="19"/>
        <v>226386</v>
      </c>
      <c r="AK35" s="151">
        <f t="shared" si="18"/>
        <v>195000</v>
      </c>
      <c r="AL35" s="117">
        <f t="shared" si="18"/>
        <v>226386</v>
      </c>
      <c r="AM35" s="151">
        <f t="shared" si="11"/>
        <v>780000</v>
      </c>
      <c r="AN35" s="117">
        <f t="shared" si="16"/>
        <v>905544</v>
      </c>
    </row>
    <row r="36" spans="1:40" ht="20.25" customHeight="1" x14ac:dyDescent="0.15">
      <c r="A36" s="23"/>
      <c r="B36" s="5" t="s">
        <v>38</v>
      </c>
      <c r="C36" s="34">
        <v>7500</v>
      </c>
      <c r="D36" s="4">
        <v>13228</v>
      </c>
      <c r="E36" s="34">
        <v>7500</v>
      </c>
      <c r="F36" s="4">
        <v>13228</v>
      </c>
      <c r="G36" s="34">
        <v>7500</v>
      </c>
      <c r="H36" s="46">
        <v>13228</v>
      </c>
      <c r="I36" s="151"/>
      <c r="J36" s="117"/>
      <c r="K36" s="34">
        <v>7500</v>
      </c>
      <c r="L36" s="4">
        <v>13228</v>
      </c>
      <c r="M36" s="34">
        <v>7500</v>
      </c>
      <c r="N36" s="4">
        <v>13228</v>
      </c>
      <c r="O36" s="34">
        <v>7500</v>
      </c>
      <c r="P36" s="46">
        <v>13228</v>
      </c>
      <c r="Q36" s="151"/>
      <c r="R36" s="117"/>
      <c r="S36" s="151"/>
      <c r="T36" s="117"/>
      <c r="U36" s="34">
        <v>7500</v>
      </c>
      <c r="V36" s="4">
        <v>13228</v>
      </c>
      <c r="W36" s="34">
        <v>7500</v>
      </c>
      <c r="X36" s="4">
        <v>13228</v>
      </c>
      <c r="Y36" s="34">
        <v>7500</v>
      </c>
      <c r="Z36" s="46">
        <v>13228</v>
      </c>
      <c r="AA36" s="151"/>
      <c r="AB36" s="117"/>
      <c r="AC36" s="34">
        <v>7500</v>
      </c>
      <c r="AD36" s="4">
        <v>13228</v>
      </c>
      <c r="AE36" s="34">
        <v>7500</v>
      </c>
      <c r="AF36" s="4">
        <v>13228</v>
      </c>
      <c r="AG36" s="34">
        <v>7500</v>
      </c>
      <c r="AH36" s="46">
        <v>13228</v>
      </c>
      <c r="AI36" s="151">
        <f t="shared" si="19"/>
        <v>22500</v>
      </c>
      <c r="AJ36" s="117">
        <f t="shared" si="19"/>
        <v>39684</v>
      </c>
      <c r="AK36" s="151">
        <f t="shared" si="18"/>
        <v>22500</v>
      </c>
      <c r="AL36" s="117">
        <f t="shared" si="18"/>
        <v>39684</v>
      </c>
      <c r="AM36" s="151">
        <f t="shared" si="11"/>
        <v>90000</v>
      </c>
      <c r="AN36" s="117">
        <f t="shared" si="16"/>
        <v>158736</v>
      </c>
    </row>
    <row r="37" spans="1:40" ht="20.25" customHeight="1" x14ac:dyDescent="0.15">
      <c r="A37" s="23"/>
      <c r="B37" s="5" t="s">
        <v>39</v>
      </c>
      <c r="C37" s="34">
        <v>0</v>
      </c>
      <c r="D37" s="4"/>
      <c r="E37" s="34">
        <v>0</v>
      </c>
      <c r="F37" s="4"/>
      <c r="G37" s="34">
        <v>0</v>
      </c>
      <c r="H37" s="46"/>
      <c r="I37" s="151"/>
      <c r="J37" s="117"/>
      <c r="K37" s="34">
        <v>0</v>
      </c>
      <c r="L37" s="4"/>
      <c r="M37" s="34">
        <v>0</v>
      </c>
      <c r="N37" s="4"/>
      <c r="O37" s="34">
        <v>0</v>
      </c>
      <c r="P37" s="46"/>
      <c r="Q37" s="151"/>
      <c r="R37" s="117"/>
      <c r="S37" s="151"/>
      <c r="T37" s="117"/>
      <c r="U37" s="34">
        <v>0</v>
      </c>
      <c r="V37" s="4"/>
      <c r="W37" s="34">
        <v>0</v>
      </c>
      <c r="X37" s="4"/>
      <c r="Y37" s="34">
        <v>0</v>
      </c>
      <c r="Z37" s="46"/>
      <c r="AA37" s="151"/>
      <c r="AB37" s="117"/>
      <c r="AC37" s="34">
        <v>0</v>
      </c>
      <c r="AD37" s="4"/>
      <c r="AE37" s="34">
        <v>0</v>
      </c>
      <c r="AF37" s="4"/>
      <c r="AG37" s="34">
        <v>0</v>
      </c>
      <c r="AH37" s="46"/>
      <c r="AI37" s="151">
        <f t="shared" si="19"/>
        <v>0</v>
      </c>
      <c r="AJ37" s="117">
        <f t="shared" si="19"/>
        <v>0</v>
      </c>
      <c r="AK37" s="151">
        <f t="shared" si="18"/>
        <v>0</v>
      </c>
      <c r="AL37" s="117">
        <f t="shared" si="18"/>
        <v>0</v>
      </c>
      <c r="AM37" s="151">
        <f t="shared" si="11"/>
        <v>0</v>
      </c>
      <c r="AN37" s="117">
        <f t="shared" si="16"/>
        <v>0</v>
      </c>
    </row>
    <row r="38" spans="1:40" ht="20.25" customHeight="1" x14ac:dyDescent="0.15">
      <c r="A38" s="23"/>
      <c r="B38" s="5" t="s">
        <v>40</v>
      </c>
      <c r="C38" s="34">
        <v>0</v>
      </c>
      <c r="D38" s="4"/>
      <c r="E38" s="34">
        <v>0</v>
      </c>
      <c r="F38" s="4"/>
      <c r="G38" s="34">
        <v>0</v>
      </c>
      <c r="H38" s="46"/>
      <c r="I38" s="151"/>
      <c r="J38" s="117"/>
      <c r="K38" s="34">
        <v>0</v>
      </c>
      <c r="L38" s="4"/>
      <c r="M38" s="34">
        <v>0</v>
      </c>
      <c r="N38" s="4"/>
      <c r="O38" s="34">
        <v>0</v>
      </c>
      <c r="P38" s="46"/>
      <c r="Q38" s="151"/>
      <c r="R38" s="117"/>
      <c r="S38" s="151"/>
      <c r="T38" s="117"/>
      <c r="U38" s="34">
        <v>0</v>
      </c>
      <c r="V38" s="4"/>
      <c r="W38" s="34">
        <v>0</v>
      </c>
      <c r="X38" s="4"/>
      <c r="Y38" s="34">
        <v>0</v>
      </c>
      <c r="Z38" s="46"/>
      <c r="AA38" s="151"/>
      <c r="AB38" s="117"/>
      <c r="AC38" s="34">
        <v>0</v>
      </c>
      <c r="AD38" s="4"/>
      <c r="AE38" s="34">
        <v>0</v>
      </c>
      <c r="AF38" s="4"/>
      <c r="AG38" s="34">
        <v>0</v>
      </c>
      <c r="AH38" s="46"/>
      <c r="AI38" s="151">
        <f t="shared" si="19"/>
        <v>0</v>
      </c>
      <c r="AJ38" s="117">
        <f t="shared" si="19"/>
        <v>0</v>
      </c>
      <c r="AK38" s="151">
        <f t="shared" si="18"/>
        <v>0</v>
      </c>
      <c r="AL38" s="117">
        <f t="shared" si="18"/>
        <v>0</v>
      </c>
      <c r="AM38" s="151">
        <f t="shared" si="11"/>
        <v>0</v>
      </c>
      <c r="AN38" s="117">
        <f t="shared" si="16"/>
        <v>0</v>
      </c>
    </row>
    <row r="39" spans="1:40" ht="20.25" customHeight="1" x14ac:dyDescent="0.15">
      <c r="A39" s="23"/>
      <c r="B39" s="5" t="s">
        <v>41</v>
      </c>
      <c r="C39" s="34">
        <v>0</v>
      </c>
      <c r="D39" s="4"/>
      <c r="E39" s="34">
        <v>0</v>
      </c>
      <c r="F39" s="4"/>
      <c r="G39" s="34">
        <v>0</v>
      </c>
      <c r="H39" s="46"/>
      <c r="I39" s="151"/>
      <c r="J39" s="117"/>
      <c r="K39" s="34">
        <v>0</v>
      </c>
      <c r="L39" s="4"/>
      <c r="M39" s="34">
        <v>0</v>
      </c>
      <c r="N39" s="4"/>
      <c r="O39" s="34">
        <v>0</v>
      </c>
      <c r="P39" s="46"/>
      <c r="Q39" s="151"/>
      <c r="R39" s="117"/>
      <c r="S39" s="151"/>
      <c r="T39" s="117"/>
      <c r="U39" s="34">
        <v>0</v>
      </c>
      <c r="V39" s="4"/>
      <c r="W39" s="34">
        <v>0</v>
      </c>
      <c r="X39" s="4"/>
      <c r="Y39" s="34">
        <v>0</v>
      </c>
      <c r="Z39" s="46"/>
      <c r="AA39" s="151"/>
      <c r="AB39" s="117"/>
      <c r="AC39" s="34">
        <v>0</v>
      </c>
      <c r="AD39" s="4"/>
      <c r="AE39" s="34">
        <v>0</v>
      </c>
      <c r="AF39" s="4"/>
      <c r="AG39" s="34">
        <v>0</v>
      </c>
      <c r="AH39" s="46"/>
      <c r="AI39" s="151">
        <f t="shared" si="19"/>
        <v>0</v>
      </c>
      <c r="AJ39" s="117">
        <f t="shared" si="19"/>
        <v>0</v>
      </c>
      <c r="AK39" s="151">
        <f t="shared" si="18"/>
        <v>0</v>
      </c>
      <c r="AL39" s="117">
        <f t="shared" si="18"/>
        <v>0</v>
      </c>
      <c r="AM39" s="151">
        <f t="shared" si="11"/>
        <v>0</v>
      </c>
      <c r="AN39" s="117">
        <f t="shared" si="16"/>
        <v>0</v>
      </c>
    </row>
    <row r="40" spans="1:40" ht="20.25" customHeight="1" x14ac:dyDescent="0.15">
      <c r="A40" s="23"/>
      <c r="B40" s="5" t="s">
        <v>42</v>
      </c>
      <c r="C40" s="34">
        <v>0</v>
      </c>
      <c r="D40" s="4"/>
      <c r="E40" s="34">
        <v>0</v>
      </c>
      <c r="F40" s="4"/>
      <c r="G40" s="34">
        <v>0</v>
      </c>
      <c r="H40" s="46"/>
      <c r="I40" s="151"/>
      <c r="J40" s="117"/>
      <c r="K40" s="34">
        <v>0</v>
      </c>
      <c r="L40" s="4"/>
      <c r="M40" s="34">
        <v>0</v>
      </c>
      <c r="N40" s="4"/>
      <c r="O40" s="34">
        <v>0</v>
      </c>
      <c r="P40" s="46"/>
      <c r="Q40" s="151"/>
      <c r="R40" s="117"/>
      <c r="S40" s="151"/>
      <c r="T40" s="117"/>
      <c r="U40" s="34">
        <v>0</v>
      </c>
      <c r="V40" s="4"/>
      <c r="W40" s="34">
        <v>0</v>
      </c>
      <c r="X40" s="4"/>
      <c r="Y40" s="34">
        <v>0</v>
      </c>
      <c r="Z40" s="46"/>
      <c r="AA40" s="151"/>
      <c r="AB40" s="117"/>
      <c r="AC40" s="34">
        <v>0</v>
      </c>
      <c r="AD40" s="4"/>
      <c r="AE40" s="34">
        <v>0</v>
      </c>
      <c r="AF40" s="4"/>
      <c r="AG40" s="34">
        <v>0</v>
      </c>
      <c r="AH40" s="46"/>
      <c r="AI40" s="151">
        <f t="shared" si="19"/>
        <v>0</v>
      </c>
      <c r="AJ40" s="117">
        <f t="shared" si="19"/>
        <v>0</v>
      </c>
      <c r="AK40" s="151">
        <f t="shared" si="18"/>
        <v>0</v>
      </c>
      <c r="AL40" s="117">
        <f t="shared" si="18"/>
        <v>0</v>
      </c>
      <c r="AM40" s="151">
        <f t="shared" si="11"/>
        <v>0</v>
      </c>
      <c r="AN40" s="117">
        <f t="shared" si="16"/>
        <v>0</v>
      </c>
    </row>
    <row r="41" spans="1:40" ht="20.25" customHeight="1" x14ac:dyDescent="0.15">
      <c r="A41" s="23"/>
      <c r="B41" s="5" t="s">
        <v>43</v>
      </c>
      <c r="C41" s="34">
        <v>0</v>
      </c>
      <c r="D41" s="4">
        <v>2074</v>
      </c>
      <c r="E41" s="34">
        <v>0</v>
      </c>
      <c r="F41" s="4">
        <v>2937</v>
      </c>
      <c r="G41" s="34">
        <v>0</v>
      </c>
      <c r="H41" s="46">
        <v>8427</v>
      </c>
      <c r="I41" s="151"/>
      <c r="J41" s="117"/>
      <c r="K41" s="34">
        <v>0</v>
      </c>
      <c r="L41" s="4">
        <v>12000</v>
      </c>
      <c r="M41" s="34">
        <v>0</v>
      </c>
      <c r="N41" s="4">
        <v>6299</v>
      </c>
      <c r="O41" s="34">
        <v>0</v>
      </c>
      <c r="P41" s="46">
        <v>4705</v>
      </c>
      <c r="Q41" s="151"/>
      <c r="R41" s="117"/>
      <c r="S41" s="151"/>
      <c r="T41" s="117"/>
      <c r="U41" s="34">
        <v>0</v>
      </c>
      <c r="V41" s="4">
        <v>6548</v>
      </c>
      <c r="W41" s="34">
        <v>0</v>
      </c>
      <c r="X41" s="4">
        <v>2064</v>
      </c>
      <c r="Y41" s="34">
        <v>0</v>
      </c>
      <c r="Z41" s="46">
        <v>2137</v>
      </c>
      <c r="AA41" s="151"/>
      <c r="AB41" s="117"/>
      <c r="AC41" s="34">
        <v>0</v>
      </c>
      <c r="AD41" s="4">
        <v>5017</v>
      </c>
      <c r="AE41" s="34">
        <v>0</v>
      </c>
      <c r="AF41" s="4">
        <v>5891</v>
      </c>
      <c r="AG41" s="34">
        <v>0</v>
      </c>
      <c r="AH41" s="46">
        <v>4773</v>
      </c>
      <c r="AI41" s="151">
        <f t="shared" si="19"/>
        <v>0</v>
      </c>
      <c r="AJ41" s="117">
        <f t="shared" si="19"/>
        <v>15681</v>
      </c>
      <c r="AK41" s="151">
        <f t="shared" si="18"/>
        <v>0</v>
      </c>
      <c r="AL41" s="117">
        <f t="shared" si="18"/>
        <v>15681</v>
      </c>
      <c r="AM41" s="151">
        <f t="shared" si="11"/>
        <v>0</v>
      </c>
      <c r="AN41" s="117">
        <f t="shared" si="16"/>
        <v>62872</v>
      </c>
    </row>
    <row r="42" spans="1:40" ht="20.25" customHeight="1" x14ac:dyDescent="0.15">
      <c r="A42" s="23"/>
      <c r="B42" s="5" t="s">
        <v>44</v>
      </c>
      <c r="C42" s="34">
        <v>0</v>
      </c>
      <c r="D42" s="4"/>
      <c r="E42" s="34">
        <v>0</v>
      </c>
      <c r="F42" s="4"/>
      <c r="G42" s="34">
        <v>0</v>
      </c>
      <c r="H42" s="46"/>
      <c r="I42" s="151"/>
      <c r="J42" s="117"/>
      <c r="K42" s="34">
        <v>0</v>
      </c>
      <c r="L42" s="4"/>
      <c r="M42" s="34">
        <v>0</v>
      </c>
      <c r="N42" s="4"/>
      <c r="O42" s="34">
        <v>0</v>
      </c>
      <c r="P42" s="46"/>
      <c r="Q42" s="151"/>
      <c r="R42" s="117"/>
      <c r="S42" s="151"/>
      <c r="T42" s="117"/>
      <c r="U42" s="34">
        <v>0</v>
      </c>
      <c r="V42" s="4"/>
      <c r="W42" s="34">
        <v>0</v>
      </c>
      <c r="X42" s="4"/>
      <c r="Y42" s="34">
        <v>0</v>
      </c>
      <c r="Z42" s="46"/>
      <c r="AA42" s="151"/>
      <c r="AB42" s="117"/>
      <c r="AC42" s="34">
        <v>0</v>
      </c>
      <c r="AD42" s="4"/>
      <c r="AE42" s="34">
        <v>0</v>
      </c>
      <c r="AF42" s="4"/>
      <c r="AG42" s="34">
        <v>0</v>
      </c>
      <c r="AH42" s="46"/>
      <c r="AI42" s="151">
        <f t="shared" si="19"/>
        <v>0</v>
      </c>
      <c r="AJ42" s="117">
        <f t="shared" si="19"/>
        <v>0</v>
      </c>
      <c r="AK42" s="151">
        <f t="shared" si="18"/>
        <v>0</v>
      </c>
      <c r="AL42" s="117">
        <f t="shared" si="18"/>
        <v>0</v>
      </c>
      <c r="AM42" s="151">
        <f t="shared" si="11"/>
        <v>0</v>
      </c>
      <c r="AN42" s="117">
        <f t="shared" si="16"/>
        <v>0</v>
      </c>
    </row>
    <row r="43" spans="1:40" ht="20.25" customHeight="1" x14ac:dyDescent="0.15">
      <c r="A43" s="23"/>
      <c r="B43" s="5" t="s">
        <v>45</v>
      </c>
      <c r="C43" s="34">
        <v>150000</v>
      </c>
      <c r="D43" s="4">
        <v>98512</v>
      </c>
      <c r="E43" s="34">
        <v>150000</v>
      </c>
      <c r="F43" s="4">
        <v>120666</v>
      </c>
      <c r="G43" s="34">
        <v>150000</v>
      </c>
      <c r="H43" s="46">
        <v>115994</v>
      </c>
      <c r="I43" s="151"/>
      <c r="J43" s="117"/>
      <c r="K43" s="34">
        <v>150000</v>
      </c>
      <c r="L43" s="4">
        <v>132594</v>
      </c>
      <c r="M43" s="34">
        <v>150000</v>
      </c>
      <c r="N43" s="4">
        <v>122648</v>
      </c>
      <c r="O43" s="34">
        <v>150000</v>
      </c>
      <c r="P43" s="46">
        <v>193150</v>
      </c>
      <c r="Q43" s="151"/>
      <c r="R43" s="117"/>
      <c r="S43" s="151"/>
      <c r="T43" s="117"/>
      <c r="U43" s="34">
        <v>150000</v>
      </c>
      <c r="V43" s="4">
        <v>136930</v>
      </c>
      <c r="W43" s="34">
        <v>150000</v>
      </c>
      <c r="X43" s="4">
        <v>123740</v>
      </c>
      <c r="Y43" s="34">
        <v>150000</v>
      </c>
      <c r="Z43" s="46">
        <v>122422</v>
      </c>
      <c r="AA43" s="151"/>
      <c r="AB43" s="117"/>
      <c r="AC43" s="34">
        <v>150000</v>
      </c>
      <c r="AD43" s="4">
        <v>117804</v>
      </c>
      <c r="AE43" s="34">
        <v>150000</v>
      </c>
      <c r="AF43" s="4">
        <v>107131</v>
      </c>
      <c r="AG43" s="34">
        <v>150000</v>
      </c>
      <c r="AH43" s="46">
        <v>52893</v>
      </c>
      <c r="AI43" s="151">
        <f t="shared" si="19"/>
        <v>450000</v>
      </c>
      <c r="AJ43" s="117">
        <f t="shared" si="19"/>
        <v>277828</v>
      </c>
      <c r="AK43" s="151">
        <f t="shared" si="18"/>
        <v>450000</v>
      </c>
      <c r="AL43" s="117">
        <f t="shared" si="18"/>
        <v>277828</v>
      </c>
      <c r="AM43" s="151">
        <f t="shared" si="11"/>
        <v>1800000</v>
      </c>
      <c r="AN43" s="117">
        <f t="shared" si="16"/>
        <v>1444484</v>
      </c>
    </row>
    <row r="44" spans="1:40" ht="20.25" customHeight="1" x14ac:dyDescent="0.15">
      <c r="A44" s="23"/>
      <c r="B44" s="5" t="s">
        <v>46</v>
      </c>
      <c r="C44" s="34">
        <v>10000</v>
      </c>
      <c r="D44" s="4">
        <v>20831</v>
      </c>
      <c r="E44" s="34">
        <v>10000</v>
      </c>
      <c r="F44" s="4">
        <v>18553</v>
      </c>
      <c r="G44" s="34">
        <v>10000</v>
      </c>
      <c r="H44" s="46">
        <v>22028</v>
      </c>
      <c r="I44" s="151"/>
      <c r="J44" s="117"/>
      <c r="K44" s="34">
        <v>10000</v>
      </c>
      <c r="L44" s="4">
        <v>20878</v>
      </c>
      <c r="M44" s="34">
        <v>10000</v>
      </c>
      <c r="N44" s="4">
        <v>23972</v>
      </c>
      <c r="O44" s="34">
        <v>10000</v>
      </c>
      <c r="P44" s="46">
        <v>16502</v>
      </c>
      <c r="Q44" s="151"/>
      <c r="R44" s="117"/>
      <c r="S44" s="151"/>
      <c r="T44" s="117"/>
      <c r="U44" s="34">
        <v>10000</v>
      </c>
      <c r="V44" s="4">
        <v>12248</v>
      </c>
      <c r="W44" s="34">
        <v>10000</v>
      </c>
      <c r="X44" s="4">
        <v>11342</v>
      </c>
      <c r="Y44" s="34">
        <v>10000</v>
      </c>
      <c r="Z44" s="46">
        <v>6314</v>
      </c>
      <c r="AA44" s="151"/>
      <c r="AB44" s="117"/>
      <c r="AC44" s="34">
        <v>10000</v>
      </c>
      <c r="AD44" s="4">
        <v>5966</v>
      </c>
      <c r="AE44" s="34">
        <v>10000</v>
      </c>
      <c r="AF44" s="4">
        <v>6041</v>
      </c>
      <c r="AG44" s="34">
        <v>10000</v>
      </c>
      <c r="AH44" s="46">
        <v>5942</v>
      </c>
      <c r="AI44" s="151">
        <f t="shared" si="19"/>
        <v>30000</v>
      </c>
      <c r="AJ44" s="117">
        <f t="shared" si="19"/>
        <v>17949</v>
      </c>
      <c r="AK44" s="151">
        <f t="shared" si="18"/>
        <v>30000</v>
      </c>
      <c r="AL44" s="117">
        <f t="shared" si="18"/>
        <v>17949</v>
      </c>
      <c r="AM44" s="151">
        <f t="shared" si="11"/>
        <v>120000</v>
      </c>
      <c r="AN44" s="117">
        <f t="shared" si="16"/>
        <v>170617</v>
      </c>
    </row>
    <row r="45" spans="1:40" ht="20.25" customHeight="1" x14ac:dyDescent="0.15">
      <c r="A45" s="23"/>
      <c r="B45" s="5" t="s">
        <v>47</v>
      </c>
      <c r="C45" s="34">
        <v>6000</v>
      </c>
      <c r="D45" s="4">
        <v>6606</v>
      </c>
      <c r="E45" s="34">
        <v>6000</v>
      </c>
      <c r="F45" s="4">
        <v>9439</v>
      </c>
      <c r="G45" s="34">
        <v>6000</v>
      </c>
      <c r="H45" s="46">
        <v>9368</v>
      </c>
      <c r="I45" s="151"/>
      <c r="J45" s="117"/>
      <c r="K45" s="34">
        <v>6000</v>
      </c>
      <c r="L45" s="4">
        <v>6948</v>
      </c>
      <c r="M45" s="34">
        <v>6000</v>
      </c>
      <c r="N45" s="4">
        <v>4760</v>
      </c>
      <c r="O45" s="34">
        <v>6000</v>
      </c>
      <c r="P45" s="46">
        <v>4332</v>
      </c>
      <c r="Q45" s="151"/>
      <c r="R45" s="117"/>
      <c r="S45" s="151"/>
      <c r="T45" s="117"/>
      <c r="U45" s="34">
        <v>6000</v>
      </c>
      <c r="V45" s="4">
        <v>4380</v>
      </c>
      <c r="W45" s="34">
        <v>6000</v>
      </c>
      <c r="X45" s="4">
        <v>5064</v>
      </c>
      <c r="Y45" s="34">
        <v>6000</v>
      </c>
      <c r="Z45" s="46">
        <v>5232</v>
      </c>
      <c r="AA45" s="151"/>
      <c r="AB45" s="117"/>
      <c r="AC45" s="34">
        <v>6000</v>
      </c>
      <c r="AD45" s="4">
        <v>4831</v>
      </c>
      <c r="AE45" s="34">
        <v>6000</v>
      </c>
      <c r="AF45" s="4">
        <v>4255</v>
      </c>
      <c r="AG45" s="34">
        <v>6000</v>
      </c>
      <c r="AH45" s="46">
        <v>5072</v>
      </c>
      <c r="AI45" s="151">
        <f t="shared" si="19"/>
        <v>18000</v>
      </c>
      <c r="AJ45" s="117">
        <f t="shared" si="19"/>
        <v>14158</v>
      </c>
      <c r="AK45" s="151">
        <f t="shared" si="18"/>
        <v>18000</v>
      </c>
      <c r="AL45" s="117">
        <f t="shared" si="18"/>
        <v>14158</v>
      </c>
      <c r="AM45" s="151">
        <f t="shared" si="11"/>
        <v>72000</v>
      </c>
      <c r="AN45" s="117">
        <f t="shared" si="16"/>
        <v>70287</v>
      </c>
    </row>
    <row r="46" spans="1:40" ht="20.25" customHeight="1" x14ac:dyDescent="0.15">
      <c r="A46" s="23"/>
      <c r="B46" s="5" t="s">
        <v>48</v>
      </c>
      <c r="C46" s="34">
        <v>2000</v>
      </c>
      <c r="D46" s="4">
        <v>1613</v>
      </c>
      <c r="E46" s="34">
        <v>2000</v>
      </c>
      <c r="F46" s="4">
        <v>2093</v>
      </c>
      <c r="G46" s="34">
        <v>2000</v>
      </c>
      <c r="H46" s="46">
        <v>1793</v>
      </c>
      <c r="I46" s="151"/>
      <c r="J46" s="117"/>
      <c r="K46" s="34">
        <v>2000</v>
      </c>
      <c r="L46" s="4">
        <v>1793</v>
      </c>
      <c r="M46" s="34">
        <v>2000</v>
      </c>
      <c r="N46" s="4">
        <v>1243</v>
      </c>
      <c r="O46" s="34">
        <v>2000</v>
      </c>
      <c r="P46" s="46">
        <v>1943</v>
      </c>
      <c r="Q46" s="151"/>
      <c r="R46" s="117"/>
      <c r="S46" s="151"/>
      <c r="T46" s="117"/>
      <c r="U46" s="34">
        <v>2000</v>
      </c>
      <c r="V46" s="4">
        <v>1943</v>
      </c>
      <c r="W46" s="34">
        <v>2000</v>
      </c>
      <c r="X46" s="4">
        <v>1943</v>
      </c>
      <c r="Y46" s="34">
        <v>2000</v>
      </c>
      <c r="Z46" s="46">
        <v>1943</v>
      </c>
      <c r="AA46" s="151"/>
      <c r="AB46" s="117"/>
      <c r="AC46" s="34">
        <v>2000</v>
      </c>
      <c r="AD46" s="4">
        <v>1943</v>
      </c>
      <c r="AE46" s="34">
        <v>2000</v>
      </c>
      <c r="AF46" s="4">
        <v>1943</v>
      </c>
      <c r="AG46" s="34">
        <v>2000</v>
      </c>
      <c r="AH46" s="46">
        <v>1943</v>
      </c>
      <c r="AI46" s="151">
        <f t="shared" si="19"/>
        <v>6000</v>
      </c>
      <c r="AJ46" s="117">
        <f t="shared" si="19"/>
        <v>5829</v>
      </c>
      <c r="AK46" s="151">
        <f t="shared" si="18"/>
        <v>6000</v>
      </c>
      <c r="AL46" s="117">
        <f t="shared" si="18"/>
        <v>5829</v>
      </c>
      <c r="AM46" s="151">
        <f t="shared" si="11"/>
        <v>24000</v>
      </c>
      <c r="AN46" s="117">
        <f t="shared" si="16"/>
        <v>22136</v>
      </c>
    </row>
    <row r="47" spans="1:40" ht="20.25" customHeight="1" x14ac:dyDescent="0.15">
      <c r="A47" s="23"/>
      <c r="B47" s="5" t="s">
        <v>49</v>
      </c>
      <c r="C47" s="34">
        <v>0</v>
      </c>
      <c r="D47" s="4"/>
      <c r="E47" s="34">
        <v>0</v>
      </c>
      <c r="F47" s="4"/>
      <c r="G47" s="34">
        <v>0</v>
      </c>
      <c r="H47" s="46"/>
      <c r="I47" s="151"/>
      <c r="J47" s="117"/>
      <c r="K47" s="34">
        <v>0</v>
      </c>
      <c r="L47" s="4"/>
      <c r="M47" s="34">
        <v>0</v>
      </c>
      <c r="N47" s="4"/>
      <c r="O47" s="34">
        <v>0</v>
      </c>
      <c r="P47" s="46"/>
      <c r="Q47" s="151"/>
      <c r="R47" s="117"/>
      <c r="S47" s="151"/>
      <c r="T47" s="117"/>
      <c r="U47" s="34">
        <v>0</v>
      </c>
      <c r="V47" s="4"/>
      <c r="W47" s="34">
        <v>0</v>
      </c>
      <c r="X47" s="4"/>
      <c r="Y47" s="34">
        <v>0</v>
      </c>
      <c r="Z47" s="46">
        <v>30000</v>
      </c>
      <c r="AA47" s="151"/>
      <c r="AB47" s="117"/>
      <c r="AC47" s="34">
        <v>0</v>
      </c>
      <c r="AD47" s="4"/>
      <c r="AE47" s="34">
        <v>0</v>
      </c>
      <c r="AF47" s="4"/>
      <c r="AG47" s="34">
        <v>0</v>
      </c>
      <c r="AH47" s="46"/>
      <c r="AI47" s="151">
        <f t="shared" si="19"/>
        <v>0</v>
      </c>
      <c r="AJ47" s="117">
        <f t="shared" si="19"/>
        <v>0</v>
      </c>
      <c r="AK47" s="151">
        <f t="shared" si="18"/>
        <v>0</v>
      </c>
      <c r="AL47" s="117">
        <f t="shared" si="18"/>
        <v>0</v>
      </c>
      <c r="AM47" s="151">
        <f t="shared" si="11"/>
        <v>0</v>
      </c>
      <c r="AN47" s="117">
        <f t="shared" si="16"/>
        <v>30000</v>
      </c>
    </row>
    <row r="48" spans="1:40" ht="20.25" customHeight="1" x14ac:dyDescent="0.15">
      <c r="A48" s="23"/>
      <c r="B48" s="5" t="s">
        <v>50</v>
      </c>
      <c r="C48" s="34">
        <v>0</v>
      </c>
      <c r="D48" s="4"/>
      <c r="E48" s="34">
        <v>0</v>
      </c>
      <c r="F48" s="4"/>
      <c r="G48" s="34">
        <v>0</v>
      </c>
      <c r="H48" s="46"/>
      <c r="I48" s="151"/>
      <c r="J48" s="117"/>
      <c r="K48" s="34">
        <v>0</v>
      </c>
      <c r="L48" s="4"/>
      <c r="M48" s="34">
        <v>0</v>
      </c>
      <c r="N48" s="4">
        <v>628</v>
      </c>
      <c r="O48" s="34">
        <v>0</v>
      </c>
      <c r="P48" s="46"/>
      <c r="Q48" s="151"/>
      <c r="R48" s="117"/>
      <c r="S48" s="151"/>
      <c r="T48" s="117"/>
      <c r="U48" s="34">
        <v>0</v>
      </c>
      <c r="V48" s="4">
        <v>940</v>
      </c>
      <c r="W48" s="34">
        <v>0</v>
      </c>
      <c r="X48" s="4"/>
      <c r="Y48" s="34">
        <v>0</v>
      </c>
      <c r="Z48" s="46"/>
      <c r="AA48" s="151"/>
      <c r="AB48" s="117"/>
      <c r="AC48" s="34">
        <v>0</v>
      </c>
      <c r="AD48" s="4"/>
      <c r="AE48" s="34">
        <v>0</v>
      </c>
      <c r="AF48" s="4"/>
      <c r="AG48" s="34">
        <v>0</v>
      </c>
      <c r="AH48" s="46"/>
      <c r="AI48" s="151">
        <f t="shared" si="19"/>
        <v>0</v>
      </c>
      <c r="AJ48" s="117">
        <f t="shared" si="19"/>
        <v>0</v>
      </c>
      <c r="AK48" s="151">
        <f t="shared" si="18"/>
        <v>0</v>
      </c>
      <c r="AL48" s="117">
        <f t="shared" si="18"/>
        <v>0</v>
      </c>
      <c r="AM48" s="151">
        <f t="shared" si="11"/>
        <v>0</v>
      </c>
      <c r="AN48" s="117">
        <f t="shared" si="16"/>
        <v>1568</v>
      </c>
    </row>
    <row r="49" spans="1:40" ht="20.25" customHeight="1" x14ac:dyDescent="0.15">
      <c r="A49" s="23"/>
      <c r="B49" s="5" t="s">
        <v>51</v>
      </c>
      <c r="C49" s="34">
        <v>300000</v>
      </c>
      <c r="D49" s="4">
        <v>356500</v>
      </c>
      <c r="E49" s="34">
        <v>300000</v>
      </c>
      <c r="F49" s="4">
        <v>259000</v>
      </c>
      <c r="G49" s="34">
        <v>300000</v>
      </c>
      <c r="H49" s="46">
        <v>993600</v>
      </c>
      <c r="I49" s="151"/>
      <c r="J49" s="117"/>
      <c r="K49" s="34">
        <v>300000</v>
      </c>
      <c r="L49" s="4">
        <v>680100</v>
      </c>
      <c r="M49" s="34">
        <v>300000</v>
      </c>
      <c r="N49" s="4">
        <v>417600</v>
      </c>
      <c r="O49" s="34">
        <v>300000</v>
      </c>
      <c r="P49" s="46">
        <v>731450</v>
      </c>
      <c r="Q49" s="151"/>
      <c r="R49" s="117"/>
      <c r="S49" s="151"/>
      <c r="T49" s="117"/>
      <c r="U49" s="34">
        <v>300000</v>
      </c>
      <c r="V49" s="4">
        <v>246350</v>
      </c>
      <c r="W49" s="34">
        <v>300000</v>
      </c>
      <c r="X49" s="4">
        <v>198000</v>
      </c>
      <c r="Y49" s="34">
        <v>300000</v>
      </c>
      <c r="Z49" s="46">
        <v>814000</v>
      </c>
      <c r="AA49" s="151"/>
      <c r="AB49" s="117"/>
      <c r="AC49" s="34">
        <v>300000</v>
      </c>
      <c r="AD49" s="4">
        <v>394500</v>
      </c>
      <c r="AE49" s="34">
        <v>300000</v>
      </c>
      <c r="AF49" s="4">
        <v>475000</v>
      </c>
      <c r="AG49" s="34">
        <v>300000</v>
      </c>
      <c r="AH49" s="46">
        <v>365000</v>
      </c>
      <c r="AI49" s="151">
        <f t="shared" si="19"/>
        <v>900000</v>
      </c>
      <c r="AJ49" s="117">
        <f t="shared" si="19"/>
        <v>1234500</v>
      </c>
      <c r="AK49" s="151">
        <f t="shared" si="18"/>
        <v>900000</v>
      </c>
      <c r="AL49" s="117">
        <f t="shared" si="18"/>
        <v>1234500</v>
      </c>
      <c r="AM49" s="151">
        <f t="shared" si="11"/>
        <v>3600000</v>
      </c>
      <c r="AN49" s="117">
        <f t="shared" si="16"/>
        <v>5931100</v>
      </c>
    </row>
    <row r="50" spans="1:40" ht="20.25" customHeight="1" x14ac:dyDescent="0.15">
      <c r="A50" s="23"/>
      <c r="B50" s="5" t="s">
        <v>52</v>
      </c>
      <c r="C50" s="34">
        <v>0</v>
      </c>
      <c r="D50" s="4"/>
      <c r="E50" s="34">
        <v>0</v>
      </c>
      <c r="F50" s="4"/>
      <c r="G50" s="34">
        <v>0</v>
      </c>
      <c r="H50" s="46"/>
      <c r="I50" s="151"/>
      <c r="J50" s="117"/>
      <c r="K50" s="34">
        <v>0</v>
      </c>
      <c r="L50" s="4"/>
      <c r="M50" s="34">
        <v>0</v>
      </c>
      <c r="N50" s="4"/>
      <c r="O50" s="34">
        <v>0</v>
      </c>
      <c r="P50" s="46"/>
      <c r="Q50" s="151"/>
      <c r="R50" s="117"/>
      <c r="S50" s="151"/>
      <c r="T50" s="117"/>
      <c r="U50" s="34">
        <v>0</v>
      </c>
      <c r="V50" s="4"/>
      <c r="W50" s="34">
        <v>0</v>
      </c>
      <c r="X50" s="4"/>
      <c r="Y50" s="34">
        <v>0</v>
      </c>
      <c r="Z50" s="46"/>
      <c r="AA50" s="151"/>
      <c r="AB50" s="117"/>
      <c r="AC50" s="34">
        <v>0</v>
      </c>
      <c r="AD50" s="4"/>
      <c r="AE50" s="34">
        <v>0</v>
      </c>
      <c r="AF50" s="4"/>
      <c r="AG50" s="34">
        <v>0</v>
      </c>
      <c r="AH50" s="46"/>
      <c r="AI50" s="151">
        <f t="shared" si="19"/>
        <v>0</v>
      </c>
      <c r="AJ50" s="117">
        <f t="shared" si="19"/>
        <v>0</v>
      </c>
      <c r="AK50" s="151">
        <f t="shared" si="18"/>
        <v>0</v>
      </c>
      <c r="AL50" s="117">
        <f t="shared" si="18"/>
        <v>0</v>
      </c>
      <c r="AM50" s="151">
        <f t="shared" si="11"/>
        <v>0</v>
      </c>
      <c r="AN50" s="117">
        <f t="shared" si="16"/>
        <v>0</v>
      </c>
    </row>
    <row r="51" spans="1:40" ht="20.25" customHeight="1" x14ac:dyDescent="0.15">
      <c r="A51" s="23"/>
      <c r="B51" s="5" t="s">
        <v>191</v>
      </c>
      <c r="C51" s="34">
        <v>0</v>
      </c>
      <c r="D51" s="4"/>
      <c r="E51" s="34">
        <v>0</v>
      </c>
      <c r="F51" s="4"/>
      <c r="G51" s="34">
        <v>0</v>
      </c>
      <c r="H51" s="46"/>
      <c r="I51" s="151"/>
      <c r="J51" s="117"/>
      <c r="K51" s="34">
        <v>0</v>
      </c>
      <c r="L51" s="4"/>
      <c r="M51" s="34">
        <v>0</v>
      </c>
      <c r="N51" s="4"/>
      <c r="O51" s="34">
        <v>0</v>
      </c>
      <c r="P51" s="46"/>
      <c r="Q51" s="151">
        <f t="shared" ref="Q51:R57" si="20">K51+M51+O51</f>
        <v>0</v>
      </c>
      <c r="R51" s="117">
        <f t="shared" si="20"/>
        <v>0</v>
      </c>
      <c r="S51" s="151">
        <f t="shared" ref="S51:T57" si="21">I51+Q51</f>
        <v>0</v>
      </c>
      <c r="T51" s="117">
        <f t="shared" si="21"/>
        <v>0</v>
      </c>
      <c r="U51" s="34">
        <v>0</v>
      </c>
      <c r="V51" s="4"/>
      <c r="W51" s="34">
        <v>0</v>
      </c>
      <c r="X51" s="4"/>
      <c r="Y51" s="34">
        <v>0</v>
      </c>
      <c r="Z51" s="46"/>
      <c r="AA51" s="151"/>
      <c r="AB51" s="117"/>
      <c r="AC51" s="34">
        <v>0</v>
      </c>
      <c r="AD51" s="4"/>
      <c r="AE51" s="34">
        <v>0</v>
      </c>
      <c r="AF51" s="4"/>
      <c r="AG51" s="34">
        <v>0</v>
      </c>
      <c r="AH51" s="46"/>
      <c r="AI51" s="151">
        <f t="shared" si="19"/>
        <v>0</v>
      </c>
      <c r="AJ51" s="117">
        <f t="shared" si="19"/>
        <v>0</v>
      </c>
      <c r="AK51" s="151">
        <f t="shared" si="18"/>
        <v>0</v>
      </c>
      <c r="AL51" s="117">
        <f t="shared" si="18"/>
        <v>0</v>
      </c>
      <c r="AM51" s="151">
        <f t="shared" si="11"/>
        <v>0</v>
      </c>
      <c r="AN51" s="117">
        <f t="shared" si="16"/>
        <v>0</v>
      </c>
    </row>
    <row r="52" spans="1:40" ht="20.25" customHeight="1" x14ac:dyDescent="0.15">
      <c r="A52" s="23"/>
      <c r="B52" s="5" t="s">
        <v>54</v>
      </c>
      <c r="C52" s="34">
        <v>0</v>
      </c>
      <c r="D52" s="4"/>
      <c r="E52" s="34">
        <v>0</v>
      </c>
      <c r="F52" s="4"/>
      <c r="G52" s="34">
        <v>0</v>
      </c>
      <c r="H52" s="46"/>
      <c r="I52" s="151">
        <f t="shared" ref="I52:J57" si="22">C52+E52+G52</f>
        <v>0</v>
      </c>
      <c r="J52" s="117">
        <f t="shared" si="22"/>
        <v>0</v>
      </c>
      <c r="K52" s="34">
        <v>0</v>
      </c>
      <c r="L52" s="4"/>
      <c r="M52" s="34">
        <v>0</v>
      </c>
      <c r="N52" s="4"/>
      <c r="O52" s="34">
        <v>0</v>
      </c>
      <c r="P52" s="46"/>
      <c r="Q52" s="151">
        <f t="shared" si="20"/>
        <v>0</v>
      </c>
      <c r="R52" s="117">
        <f t="shared" si="20"/>
        <v>0</v>
      </c>
      <c r="S52" s="151">
        <f t="shared" si="21"/>
        <v>0</v>
      </c>
      <c r="T52" s="117">
        <f t="shared" si="21"/>
        <v>0</v>
      </c>
      <c r="U52" s="34">
        <v>0</v>
      </c>
      <c r="V52" s="4"/>
      <c r="W52" s="34">
        <v>0</v>
      </c>
      <c r="X52" s="4"/>
      <c r="Y52" s="34">
        <v>0</v>
      </c>
      <c r="Z52" s="46"/>
      <c r="AA52" s="151">
        <f t="shared" ref="AA52:AB57" si="23">U52+W52+Y52</f>
        <v>0</v>
      </c>
      <c r="AB52" s="117">
        <f t="shared" si="23"/>
        <v>0</v>
      </c>
      <c r="AC52" s="34">
        <v>0</v>
      </c>
      <c r="AD52" s="4"/>
      <c r="AE52" s="34">
        <v>0</v>
      </c>
      <c r="AF52" s="4"/>
      <c r="AG52" s="34">
        <v>0</v>
      </c>
      <c r="AH52" s="46"/>
      <c r="AI52" s="151">
        <f t="shared" si="19"/>
        <v>0</v>
      </c>
      <c r="AJ52" s="117">
        <f t="shared" si="19"/>
        <v>0</v>
      </c>
      <c r="AK52" s="151">
        <f t="shared" si="18"/>
        <v>0</v>
      </c>
      <c r="AL52" s="117">
        <f t="shared" si="18"/>
        <v>0</v>
      </c>
      <c r="AM52" s="151">
        <f t="shared" si="11"/>
        <v>0</v>
      </c>
      <c r="AN52" s="117">
        <f t="shared" si="16"/>
        <v>0</v>
      </c>
    </row>
    <row r="53" spans="1:40" ht="20.25" customHeight="1" x14ac:dyDescent="0.15">
      <c r="A53" s="23"/>
      <c r="B53" s="5" t="s">
        <v>190</v>
      </c>
      <c r="C53" s="34">
        <v>0</v>
      </c>
      <c r="D53" s="4"/>
      <c r="E53" s="34">
        <v>0</v>
      </c>
      <c r="F53" s="4"/>
      <c r="G53" s="34">
        <v>0</v>
      </c>
      <c r="H53" s="46"/>
      <c r="I53" s="151">
        <f t="shared" si="22"/>
        <v>0</v>
      </c>
      <c r="J53" s="117">
        <f t="shared" si="22"/>
        <v>0</v>
      </c>
      <c r="K53" s="34">
        <v>0</v>
      </c>
      <c r="L53" s="4"/>
      <c r="M53" s="34">
        <v>0</v>
      </c>
      <c r="N53" s="4"/>
      <c r="O53" s="34">
        <v>0</v>
      </c>
      <c r="P53" s="46"/>
      <c r="Q53" s="151">
        <f t="shared" si="20"/>
        <v>0</v>
      </c>
      <c r="R53" s="117">
        <f t="shared" si="20"/>
        <v>0</v>
      </c>
      <c r="S53" s="151">
        <f t="shared" si="21"/>
        <v>0</v>
      </c>
      <c r="T53" s="117">
        <f t="shared" si="21"/>
        <v>0</v>
      </c>
      <c r="U53" s="34">
        <v>0</v>
      </c>
      <c r="V53" s="4"/>
      <c r="W53" s="34">
        <v>0</v>
      </c>
      <c r="X53" s="4"/>
      <c r="Y53" s="34">
        <v>0</v>
      </c>
      <c r="Z53" s="46"/>
      <c r="AA53" s="151">
        <f t="shared" si="23"/>
        <v>0</v>
      </c>
      <c r="AB53" s="117">
        <f t="shared" si="23"/>
        <v>0</v>
      </c>
      <c r="AC53" s="34">
        <v>0</v>
      </c>
      <c r="AD53" s="4"/>
      <c r="AE53" s="34">
        <v>0</v>
      </c>
      <c r="AF53" s="4"/>
      <c r="AG53" s="34">
        <v>0</v>
      </c>
      <c r="AH53" s="46"/>
      <c r="AI53" s="151">
        <f t="shared" si="19"/>
        <v>0</v>
      </c>
      <c r="AJ53" s="117">
        <f t="shared" si="19"/>
        <v>0</v>
      </c>
      <c r="AK53" s="151">
        <f t="shared" si="18"/>
        <v>0</v>
      </c>
      <c r="AL53" s="117">
        <f t="shared" si="18"/>
        <v>0</v>
      </c>
      <c r="AM53" s="151">
        <f t="shared" si="11"/>
        <v>0</v>
      </c>
      <c r="AN53" s="117">
        <f t="shared" si="16"/>
        <v>0</v>
      </c>
    </row>
    <row r="54" spans="1:40" ht="20.25" customHeight="1" x14ac:dyDescent="0.15">
      <c r="A54" s="26"/>
      <c r="B54" s="27" t="s">
        <v>55</v>
      </c>
      <c r="C54" s="35">
        <v>10000</v>
      </c>
      <c r="D54" s="28"/>
      <c r="E54" s="35">
        <v>10000</v>
      </c>
      <c r="F54" s="28"/>
      <c r="G54" s="35">
        <v>10000</v>
      </c>
      <c r="H54" s="47"/>
      <c r="I54" s="152">
        <f t="shared" si="22"/>
        <v>30000</v>
      </c>
      <c r="J54" s="118">
        <f t="shared" si="22"/>
        <v>0</v>
      </c>
      <c r="K54" s="35">
        <v>10000</v>
      </c>
      <c r="L54" s="28"/>
      <c r="M54" s="35">
        <v>10000</v>
      </c>
      <c r="N54" s="28"/>
      <c r="O54" s="35">
        <v>10000</v>
      </c>
      <c r="P54" s="47"/>
      <c r="Q54" s="152">
        <f t="shared" si="20"/>
        <v>30000</v>
      </c>
      <c r="R54" s="118">
        <f t="shared" si="20"/>
        <v>0</v>
      </c>
      <c r="S54" s="152">
        <f t="shared" si="21"/>
        <v>60000</v>
      </c>
      <c r="T54" s="118">
        <f t="shared" si="21"/>
        <v>0</v>
      </c>
      <c r="U54" s="35">
        <v>10000</v>
      </c>
      <c r="V54" s="28"/>
      <c r="W54" s="35">
        <v>10000</v>
      </c>
      <c r="X54" s="28"/>
      <c r="Y54" s="35">
        <v>10000</v>
      </c>
      <c r="Z54" s="47"/>
      <c r="AA54" s="152">
        <f t="shared" si="23"/>
        <v>30000</v>
      </c>
      <c r="AB54" s="118">
        <f t="shared" si="23"/>
        <v>0</v>
      </c>
      <c r="AC54" s="35">
        <v>10000</v>
      </c>
      <c r="AD54" s="28"/>
      <c r="AE54" s="35">
        <v>10000</v>
      </c>
      <c r="AF54" s="28"/>
      <c r="AG54" s="35">
        <v>10000</v>
      </c>
      <c r="AH54" s="47"/>
      <c r="AI54" s="152">
        <f t="shared" si="19"/>
        <v>30000</v>
      </c>
      <c r="AJ54" s="118">
        <f t="shared" si="19"/>
        <v>0</v>
      </c>
      <c r="AK54" s="152">
        <f t="shared" si="18"/>
        <v>60000</v>
      </c>
      <c r="AL54" s="118">
        <f t="shared" si="18"/>
        <v>0</v>
      </c>
      <c r="AM54" s="152">
        <f t="shared" si="11"/>
        <v>120000</v>
      </c>
      <c r="AN54" s="118">
        <f t="shared" si="16"/>
        <v>0</v>
      </c>
    </row>
    <row r="55" spans="1:40" ht="20.25" customHeight="1" x14ac:dyDescent="0.15">
      <c r="A55" s="21" t="s">
        <v>81</v>
      </c>
      <c r="B55" s="22" t="s">
        <v>188</v>
      </c>
      <c r="C55" s="34">
        <v>405000</v>
      </c>
      <c r="D55" s="4">
        <v>405000</v>
      </c>
      <c r="E55" s="34">
        <v>405000</v>
      </c>
      <c r="F55" s="4">
        <v>405000</v>
      </c>
      <c r="G55" s="34">
        <v>405000</v>
      </c>
      <c r="H55" s="46">
        <v>405000</v>
      </c>
      <c r="I55" s="151">
        <f t="shared" si="22"/>
        <v>1215000</v>
      </c>
      <c r="J55" s="117">
        <f t="shared" si="22"/>
        <v>1215000</v>
      </c>
      <c r="K55" s="34">
        <v>405000</v>
      </c>
      <c r="L55" s="4">
        <v>405000</v>
      </c>
      <c r="M55" s="34">
        <v>405000</v>
      </c>
      <c r="N55" s="4">
        <v>405000</v>
      </c>
      <c r="O55" s="34">
        <v>405000</v>
      </c>
      <c r="P55" s="46">
        <v>405000</v>
      </c>
      <c r="Q55" s="151">
        <f t="shared" si="20"/>
        <v>1215000</v>
      </c>
      <c r="R55" s="117">
        <f t="shared" si="20"/>
        <v>1215000</v>
      </c>
      <c r="S55" s="151">
        <f t="shared" si="21"/>
        <v>2430000</v>
      </c>
      <c r="T55" s="117">
        <f t="shared" si="21"/>
        <v>2430000</v>
      </c>
      <c r="U55" s="34">
        <v>405000</v>
      </c>
      <c r="V55" s="4">
        <v>405000</v>
      </c>
      <c r="W55" s="34">
        <v>405000</v>
      </c>
      <c r="X55" s="4">
        <v>405000</v>
      </c>
      <c r="Y55" s="34">
        <v>405000</v>
      </c>
      <c r="Z55" s="46">
        <v>405000</v>
      </c>
      <c r="AA55" s="151">
        <f t="shared" si="23"/>
        <v>1215000</v>
      </c>
      <c r="AB55" s="117">
        <f t="shared" si="23"/>
        <v>1215000</v>
      </c>
      <c r="AC55" s="34">
        <v>405000</v>
      </c>
      <c r="AD55" s="4">
        <v>405000</v>
      </c>
      <c r="AE55" s="34">
        <v>405000</v>
      </c>
      <c r="AF55" s="4">
        <v>405000</v>
      </c>
      <c r="AG55" s="34">
        <v>405000</v>
      </c>
      <c r="AH55" s="46">
        <v>405000</v>
      </c>
      <c r="AI55" s="151">
        <f t="shared" si="19"/>
        <v>1215000</v>
      </c>
      <c r="AJ55" s="117">
        <f t="shared" si="19"/>
        <v>1215000</v>
      </c>
      <c r="AK55" s="151">
        <f t="shared" si="18"/>
        <v>2430000</v>
      </c>
      <c r="AL55" s="117">
        <f t="shared" si="18"/>
        <v>2430000</v>
      </c>
      <c r="AM55" s="151">
        <f t="shared" si="11"/>
        <v>4860000</v>
      </c>
      <c r="AN55" s="117">
        <f t="shared" si="16"/>
        <v>4860000</v>
      </c>
    </row>
    <row r="56" spans="1:40" ht="20.25" customHeight="1" x14ac:dyDescent="0.15">
      <c r="A56" s="21"/>
      <c r="B56" s="22" t="s">
        <v>207</v>
      </c>
      <c r="C56" s="34"/>
      <c r="D56" s="4"/>
      <c r="E56" s="34"/>
      <c r="F56" s="4"/>
      <c r="G56" s="34"/>
      <c r="H56" s="46"/>
      <c r="I56" s="151"/>
      <c r="J56" s="117"/>
      <c r="K56" s="34"/>
      <c r="L56" s="4"/>
      <c r="M56" s="34"/>
      <c r="N56" s="4"/>
      <c r="O56" s="34"/>
      <c r="P56" s="46"/>
      <c r="Q56" s="151"/>
      <c r="R56" s="117"/>
      <c r="S56" s="151"/>
      <c r="T56" s="117"/>
      <c r="U56" s="34"/>
      <c r="V56" s="4"/>
      <c r="W56" s="34"/>
      <c r="X56" s="4"/>
      <c r="Y56" s="34"/>
      <c r="Z56" s="46"/>
      <c r="AA56" s="151"/>
      <c r="AB56" s="117"/>
      <c r="AC56" s="34"/>
      <c r="AD56" s="4"/>
      <c r="AE56" s="34"/>
      <c r="AF56" s="4"/>
      <c r="AG56" s="34"/>
      <c r="AH56" s="46"/>
      <c r="AI56" s="151"/>
      <c r="AJ56" s="117"/>
      <c r="AK56" s="151"/>
      <c r="AL56" s="117"/>
      <c r="AM56" s="151">
        <f t="shared" si="11"/>
        <v>0</v>
      </c>
      <c r="AN56" s="117">
        <f t="shared" si="16"/>
        <v>0</v>
      </c>
    </row>
    <row r="57" spans="1:40" ht="20.25" customHeight="1" thickBot="1" x14ac:dyDescent="0.2">
      <c r="A57" s="21" t="s">
        <v>82</v>
      </c>
      <c r="B57" s="6" t="s">
        <v>74</v>
      </c>
      <c r="C57" s="34"/>
      <c r="D57" s="4"/>
      <c r="E57" s="34"/>
      <c r="F57" s="4"/>
      <c r="G57" s="34"/>
      <c r="H57" s="46"/>
      <c r="I57" s="151">
        <f>C57+E57+G57</f>
        <v>0</v>
      </c>
      <c r="J57" s="117">
        <f t="shared" si="22"/>
        <v>0</v>
      </c>
      <c r="K57" s="34"/>
      <c r="L57" s="4">
        <v>82500</v>
      </c>
      <c r="M57" s="34"/>
      <c r="N57" s="4"/>
      <c r="O57" s="34"/>
      <c r="P57" s="46">
        <v>80000</v>
      </c>
      <c r="Q57" s="151">
        <f t="shared" si="20"/>
        <v>0</v>
      </c>
      <c r="R57" s="117">
        <f t="shared" si="20"/>
        <v>162500</v>
      </c>
      <c r="S57" s="151">
        <f t="shared" si="21"/>
        <v>0</v>
      </c>
      <c r="T57" s="117">
        <f t="shared" si="21"/>
        <v>162500</v>
      </c>
      <c r="U57" s="34"/>
      <c r="V57" s="4"/>
      <c r="W57" s="34"/>
      <c r="X57" s="4"/>
      <c r="Y57" s="34"/>
      <c r="Z57" s="46"/>
      <c r="AA57" s="151">
        <f t="shared" si="23"/>
        <v>0</v>
      </c>
      <c r="AB57" s="117">
        <f t="shared" si="23"/>
        <v>0</v>
      </c>
      <c r="AC57" s="34"/>
      <c r="AD57" s="4">
        <v>80000</v>
      </c>
      <c r="AE57" s="34"/>
      <c r="AF57" s="4"/>
      <c r="AG57" s="34"/>
      <c r="AH57" s="46"/>
      <c r="AI57" s="151">
        <f t="shared" si="19"/>
        <v>0</v>
      </c>
      <c r="AJ57" s="117">
        <f t="shared" si="19"/>
        <v>80000</v>
      </c>
      <c r="AK57" s="151">
        <f t="shared" si="18"/>
        <v>0</v>
      </c>
      <c r="AL57" s="117">
        <f t="shared" si="18"/>
        <v>80000</v>
      </c>
      <c r="AM57" s="151">
        <f t="shared" si="11"/>
        <v>0</v>
      </c>
      <c r="AN57" s="117">
        <f t="shared" si="16"/>
        <v>242500</v>
      </c>
    </row>
    <row r="58" spans="1:40" ht="20.25" customHeight="1" thickTop="1" thickBot="1" x14ac:dyDescent="0.2">
      <c r="A58" s="24"/>
      <c r="B58" s="7" t="s">
        <v>27</v>
      </c>
      <c r="C58" s="40">
        <f>SUM(C33:C57)</f>
        <v>958500</v>
      </c>
      <c r="D58" s="14">
        <f>SUM(D33:D57)</f>
        <v>979826</v>
      </c>
      <c r="E58" s="40">
        <f t="shared" ref="E58:AM58" si="24">SUM(E33:E57)</f>
        <v>958500</v>
      </c>
      <c r="F58" s="14">
        <f t="shared" si="24"/>
        <v>906378</v>
      </c>
      <c r="G58" s="40">
        <f t="shared" si="24"/>
        <v>958500</v>
      </c>
      <c r="H58" s="52">
        <f t="shared" si="24"/>
        <v>1644900</v>
      </c>
      <c r="I58" s="40">
        <f t="shared" si="24"/>
        <v>1245000</v>
      </c>
      <c r="J58" s="14">
        <f t="shared" si="24"/>
        <v>1215000</v>
      </c>
      <c r="K58" s="40">
        <f t="shared" si="24"/>
        <v>958500</v>
      </c>
      <c r="L58" s="14">
        <f t="shared" si="24"/>
        <v>1430503</v>
      </c>
      <c r="M58" s="40">
        <f t="shared" si="24"/>
        <v>958500</v>
      </c>
      <c r="N58" s="14">
        <f t="shared" si="24"/>
        <v>1070840</v>
      </c>
      <c r="O58" s="40">
        <f t="shared" si="24"/>
        <v>958500</v>
      </c>
      <c r="P58" s="52">
        <f t="shared" si="24"/>
        <v>1529082</v>
      </c>
      <c r="Q58" s="40">
        <f t="shared" si="24"/>
        <v>1245000</v>
      </c>
      <c r="R58" s="14">
        <f t="shared" si="24"/>
        <v>1377500</v>
      </c>
      <c r="S58" s="40">
        <f t="shared" si="24"/>
        <v>2490000</v>
      </c>
      <c r="T58" s="14">
        <f t="shared" si="24"/>
        <v>2592500</v>
      </c>
      <c r="U58" s="40">
        <f t="shared" si="24"/>
        <v>958500</v>
      </c>
      <c r="V58" s="14">
        <f t="shared" si="24"/>
        <v>903029</v>
      </c>
      <c r="W58" s="40">
        <f t="shared" si="24"/>
        <v>958500</v>
      </c>
      <c r="X58" s="14">
        <f t="shared" si="24"/>
        <v>835843</v>
      </c>
      <c r="Y58" s="40">
        <f t="shared" si="24"/>
        <v>958500</v>
      </c>
      <c r="Z58" s="52">
        <f t="shared" si="24"/>
        <v>1475738</v>
      </c>
      <c r="AA58" s="40">
        <f t="shared" si="24"/>
        <v>1245000</v>
      </c>
      <c r="AB58" s="14">
        <f t="shared" si="24"/>
        <v>1215000</v>
      </c>
      <c r="AC58" s="40">
        <f t="shared" si="24"/>
        <v>958500</v>
      </c>
      <c r="AD58" s="14">
        <f t="shared" si="24"/>
        <v>1103751</v>
      </c>
      <c r="AE58" s="40">
        <f t="shared" si="24"/>
        <v>958500</v>
      </c>
      <c r="AF58" s="14">
        <f t="shared" si="24"/>
        <v>1093951</v>
      </c>
      <c r="AG58" s="40">
        <f t="shared" si="24"/>
        <v>958500</v>
      </c>
      <c r="AH58" s="52">
        <f t="shared" si="24"/>
        <v>929313</v>
      </c>
      <c r="AI58" s="40">
        <f t="shared" si="24"/>
        <v>2875500</v>
      </c>
      <c r="AJ58" s="14">
        <f t="shared" si="24"/>
        <v>3127015</v>
      </c>
      <c r="AK58" s="40">
        <f t="shared" si="24"/>
        <v>4120500</v>
      </c>
      <c r="AL58" s="14">
        <f t="shared" si="24"/>
        <v>4342015</v>
      </c>
      <c r="AM58" s="40">
        <f t="shared" si="24"/>
        <v>11502000</v>
      </c>
      <c r="AN58" s="14">
        <f t="shared" si="16"/>
        <v>13903154</v>
      </c>
    </row>
    <row r="59" spans="1:40" ht="20.25" customHeight="1" thickBot="1" x14ac:dyDescent="0.2">
      <c r="A59" s="212" t="s">
        <v>57</v>
      </c>
      <c r="B59" s="213"/>
      <c r="C59" s="41">
        <f>C32+C58</f>
        <v>2289400.4493836081</v>
      </c>
      <c r="D59" s="15">
        <f>D32+D58</f>
        <v>2283264.21</v>
      </c>
      <c r="E59" s="41">
        <f t="shared" ref="E59:AM59" si="25">E32+E58</f>
        <v>2289400.4493836081</v>
      </c>
      <c r="F59" s="15">
        <f t="shared" si="25"/>
        <v>2208494.21</v>
      </c>
      <c r="G59" s="41">
        <f t="shared" si="25"/>
        <v>2289400.4493836081</v>
      </c>
      <c r="H59" s="53">
        <f t="shared" si="25"/>
        <v>2967196.21</v>
      </c>
      <c r="I59" s="41">
        <f t="shared" si="25"/>
        <v>1245000</v>
      </c>
      <c r="J59" s="15">
        <f t="shared" si="25"/>
        <v>1215000</v>
      </c>
      <c r="K59" s="41">
        <f t="shared" si="25"/>
        <v>2289400.4493836081</v>
      </c>
      <c r="L59" s="15">
        <f t="shared" si="25"/>
        <v>2752799.21</v>
      </c>
      <c r="M59" s="41">
        <f t="shared" si="25"/>
        <v>2289400.4493836081</v>
      </c>
      <c r="N59" s="15">
        <f t="shared" si="25"/>
        <v>2393136.21</v>
      </c>
      <c r="O59" s="41">
        <f t="shared" si="25"/>
        <v>2289400.4493836081</v>
      </c>
      <c r="P59" s="53">
        <f t="shared" si="25"/>
        <v>2851378.21</v>
      </c>
      <c r="Q59" s="41">
        <f t="shared" si="25"/>
        <v>5237701.3481508242</v>
      </c>
      <c r="R59" s="15">
        <f t="shared" si="25"/>
        <v>5344388.63</v>
      </c>
      <c r="S59" s="41">
        <f t="shared" si="25"/>
        <v>6482701.3481508242</v>
      </c>
      <c r="T59" s="15">
        <f t="shared" si="25"/>
        <v>6559388.6299999999</v>
      </c>
      <c r="U59" s="41">
        <f t="shared" si="25"/>
        <v>2289400.4493836081</v>
      </c>
      <c r="V59" s="15">
        <f t="shared" si="25"/>
        <v>2225325.21</v>
      </c>
      <c r="W59" s="41">
        <f t="shared" si="25"/>
        <v>2289400.4493836081</v>
      </c>
      <c r="X59" s="15">
        <f t="shared" si="25"/>
        <v>2160936.21</v>
      </c>
      <c r="Y59" s="41">
        <f t="shared" si="25"/>
        <v>2289400.4493836081</v>
      </c>
      <c r="Z59" s="53">
        <f t="shared" si="25"/>
        <v>2800831.21</v>
      </c>
      <c r="AA59" s="41">
        <f t="shared" si="25"/>
        <v>1245000</v>
      </c>
      <c r="AB59" s="15">
        <f t="shared" si="25"/>
        <v>1215000</v>
      </c>
      <c r="AC59" s="41">
        <f t="shared" si="25"/>
        <v>2289400.4493836081</v>
      </c>
      <c r="AD59" s="15">
        <f t="shared" si="25"/>
        <v>2428844.21</v>
      </c>
      <c r="AE59" s="41">
        <f t="shared" si="25"/>
        <v>2289400.4493836081</v>
      </c>
      <c r="AF59" s="15">
        <f t="shared" si="25"/>
        <v>3819044.21</v>
      </c>
      <c r="AG59" s="41">
        <f t="shared" si="25"/>
        <v>2289400.4493836081</v>
      </c>
      <c r="AH59" s="53">
        <f t="shared" si="25"/>
        <v>2254406.21</v>
      </c>
      <c r="AI59" s="41">
        <f t="shared" si="25"/>
        <v>6868201.3481508242</v>
      </c>
      <c r="AJ59" s="15">
        <f t="shared" si="25"/>
        <v>8502294.629999999</v>
      </c>
      <c r="AK59" s="41">
        <f t="shared" si="25"/>
        <v>8113201.3481508242</v>
      </c>
      <c r="AL59" s="15">
        <f t="shared" si="25"/>
        <v>9717294.629999999</v>
      </c>
      <c r="AM59" s="41">
        <f t="shared" si="25"/>
        <v>27472805.392603297</v>
      </c>
      <c r="AN59" s="15">
        <f t="shared" si="16"/>
        <v>31145655.520000007</v>
      </c>
    </row>
    <row r="60" spans="1:40" ht="20.25" customHeight="1" x14ac:dyDescent="0.15">
      <c r="A60" s="218" t="s">
        <v>75</v>
      </c>
      <c r="B60" s="219"/>
      <c r="C60" s="37">
        <f>C21-C59</f>
        <v>714537.48053248134</v>
      </c>
      <c r="D60" s="9">
        <f t="shared" ref="D60:AM60" si="26">D21-D59</f>
        <v>637827.79</v>
      </c>
      <c r="E60" s="37">
        <f t="shared" si="26"/>
        <v>714537.48053248134</v>
      </c>
      <c r="F60" s="9">
        <f t="shared" si="26"/>
        <v>1165945.79</v>
      </c>
      <c r="G60" s="37">
        <f t="shared" si="26"/>
        <v>1465521.963011506</v>
      </c>
      <c r="H60" s="49">
        <f t="shared" si="26"/>
        <v>354720.79000000004</v>
      </c>
      <c r="I60" s="37">
        <f>I21-I59</f>
        <v>8517798.272227291</v>
      </c>
      <c r="J60" s="9">
        <f t="shared" si="26"/>
        <v>8402449</v>
      </c>
      <c r="K60" s="37">
        <f t="shared" si="26"/>
        <v>1465521.963011506</v>
      </c>
      <c r="L60" s="9">
        <f t="shared" si="26"/>
        <v>542268.79</v>
      </c>
      <c r="M60" s="37">
        <f t="shared" si="26"/>
        <v>1465521.963011506</v>
      </c>
      <c r="N60" s="9">
        <f t="shared" si="26"/>
        <v>996669.79</v>
      </c>
      <c r="O60" s="37">
        <f t="shared" si="26"/>
        <v>1465521.963011506</v>
      </c>
      <c r="P60" s="49">
        <f t="shared" si="26"/>
        <v>336499.79000000004</v>
      </c>
      <c r="Q60" s="37">
        <f t="shared" si="26"/>
        <v>6027065.889034505</v>
      </c>
      <c r="R60" s="9">
        <f t="shared" si="26"/>
        <v>4528363.37</v>
      </c>
      <c r="S60" s="37">
        <f t="shared" si="26"/>
        <v>14544864.161261801</v>
      </c>
      <c r="T60" s="9">
        <f t="shared" si="26"/>
        <v>12930812.370000001</v>
      </c>
      <c r="U60" s="37">
        <f t="shared" si="26"/>
        <v>1465521.963011506</v>
      </c>
      <c r="V60" s="9">
        <f t="shared" si="26"/>
        <v>1312702.79</v>
      </c>
      <c r="W60" s="37">
        <f t="shared" si="26"/>
        <v>1465521.963011506</v>
      </c>
      <c r="X60" s="9">
        <f t="shared" si="26"/>
        <v>1216966.79</v>
      </c>
      <c r="Y60" s="37">
        <f t="shared" si="26"/>
        <v>2967490.9279695498</v>
      </c>
      <c r="Z60" s="49">
        <f t="shared" si="26"/>
        <v>389710.79000000004</v>
      </c>
      <c r="AA60" s="37">
        <f t="shared" si="26"/>
        <v>11521736.202143371</v>
      </c>
      <c r="AB60" s="9">
        <f t="shared" si="26"/>
        <v>8891473</v>
      </c>
      <c r="AC60" s="37">
        <f t="shared" si="26"/>
        <v>2967490.9279695498</v>
      </c>
      <c r="AD60" s="9">
        <f t="shared" si="26"/>
        <v>461748.79000000004</v>
      </c>
      <c r="AE60" s="37">
        <f t="shared" si="26"/>
        <v>2967490.9279695498</v>
      </c>
      <c r="AF60" s="9">
        <f t="shared" si="26"/>
        <v>-1005052.21</v>
      </c>
      <c r="AG60" s="37">
        <f t="shared" si="26"/>
        <v>3968803.5712749148</v>
      </c>
      <c r="AH60" s="49">
        <f t="shared" si="26"/>
        <v>727623.79</v>
      </c>
      <c r="AI60" s="37">
        <f t="shared" si="26"/>
        <v>9903785.4272140078</v>
      </c>
      <c r="AJ60" s="9">
        <f t="shared" si="26"/>
        <v>184320.37000000104</v>
      </c>
      <c r="AK60" s="37">
        <f t="shared" si="26"/>
        <v>21425521.629357394</v>
      </c>
      <c r="AL60" s="9">
        <f t="shared" si="26"/>
        <v>9075793.370000001</v>
      </c>
      <c r="AM60" s="37">
        <f t="shared" si="26"/>
        <v>23093483.094317537</v>
      </c>
      <c r="AN60" s="9">
        <f t="shared" si="16"/>
        <v>7137633.4800000004</v>
      </c>
    </row>
    <row r="61" spans="1:40" s="16" customFormat="1" ht="20.25" customHeight="1" thickBot="1" x14ac:dyDescent="0.2">
      <c r="A61" s="210" t="s">
        <v>29</v>
      </c>
      <c r="B61" s="211"/>
      <c r="C61" s="38">
        <f t="shared" ref="C61:AM61" si="27">IF(C5=0,"        ― ",C60/C5)</f>
        <v>5.9544790044373443E-2</v>
      </c>
      <c r="D61" s="10">
        <f t="shared" si="27"/>
        <v>5.9591611570807737E-2</v>
      </c>
      <c r="E61" s="38">
        <f t="shared" si="27"/>
        <v>5.9544790044373443E-2</v>
      </c>
      <c r="F61" s="10">
        <f t="shared" si="27"/>
        <v>9.5302744961103067E-2</v>
      </c>
      <c r="G61" s="38">
        <f t="shared" si="27"/>
        <v>9.7701464200767071E-2</v>
      </c>
      <c r="H61" s="50">
        <f t="shared" si="27"/>
        <v>2.7628598838576424E-2</v>
      </c>
      <c r="I61" s="38">
        <f t="shared" si="27"/>
        <v>0.21840508390326388</v>
      </c>
      <c r="J61" s="10">
        <f t="shared" si="27"/>
        <v>0.23486049718892429</v>
      </c>
      <c r="K61" s="38">
        <f t="shared" si="27"/>
        <v>9.7701464200767071E-2</v>
      </c>
      <c r="L61" s="10">
        <f t="shared" si="27"/>
        <v>4.1788244474452341E-2</v>
      </c>
      <c r="M61" s="38">
        <f t="shared" si="27"/>
        <v>9.7701464200767071E-2</v>
      </c>
      <c r="N61" s="10">
        <f t="shared" si="27"/>
        <v>6.5245407283249984E-2</v>
      </c>
      <c r="O61" s="38">
        <f t="shared" si="27"/>
        <v>9.7701464200767071E-2</v>
      </c>
      <c r="P61" s="50">
        <f t="shared" si="27"/>
        <v>2.3452576108535666E-2</v>
      </c>
      <c r="Q61" s="38">
        <f t="shared" si="27"/>
        <v>0.13393479753410012</v>
      </c>
      <c r="R61" s="10">
        <f t="shared" si="27"/>
        <v>0.10629863646788211</v>
      </c>
      <c r="S61" s="38">
        <f t="shared" si="27"/>
        <v>0.1731531447769262</v>
      </c>
      <c r="T61" s="10">
        <f t="shared" si="27"/>
        <v>0.16498279999688684</v>
      </c>
      <c r="U61" s="38">
        <f t="shared" si="27"/>
        <v>9.7701464200767071E-2</v>
      </c>
      <c r="V61" s="10">
        <f t="shared" si="27"/>
        <v>8.285168166718411E-2</v>
      </c>
      <c r="W61" s="38">
        <f t="shared" si="27"/>
        <v>9.7701464200767071E-2</v>
      </c>
      <c r="X61" s="10">
        <f t="shared" si="27"/>
        <v>7.9460265942550817E-2</v>
      </c>
      <c r="Y61" s="38">
        <f t="shared" si="27"/>
        <v>0.1413090918080738</v>
      </c>
      <c r="Z61" s="50">
        <f t="shared" si="27"/>
        <v>2.6175923666483771E-2</v>
      </c>
      <c r="AA61" s="38">
        <f t="shared" si="27"/>
        <v>0.22591639612045825</v>
      </c>
      <c r="AB61" s="10">
        <f t="shared" si="27"/>
        <v>0.19309324548155765</v>
      </c>
      <c r="AC61" s="38">
        <f t="shared" si="27"/>
        <v>0.1413090918080738</v>
      </c>
      <c r="AD61" s="10">
        <f t="shared" si="27"/>
        <v>3.2076157019712566E-2</v>
      </c>
      <c r="AE61" s="38">
        <f t="shared" si="27"/>
        <v>0.1413090918080738</v>
      </c>
      <c r="AF61" s="10">
        <f t="shared" si="27"/>
        <v>-6.8973601227982004E-2</v>
      </c>
      <c r="AG61" s="38">
        <f t="shared" si="27"/>
        <v>0.15875214285099659</v>
      </c>
      <c r="AH61" s="50">
        <f>IF(AH5=0,"        ― ",AH60/AH5)</f>
        <v>5.1183008443935481E-2</v>
      </c>
      <c r="AI61" s="38">
        <f t="shared" si="27"/>
        <v>0.14781769294349265</v>
      </c>
      <c r="AJ61" s="10">
        <f t="shared" si="27"/>
        <v>4.2683490764283526E-3</v>
      </c>
      <c r="AK61" s="38">
        <f t="shared" si="27"/>
        <v>0.181572217197944</v>
      </c>
      <c r="AL61" s="10">
        <f t="shared" si="27"/>
        <v>0.10171164752637604</v>
      </c>
      <c r="AM61" s="38">
        <f t="shared" si="27"/>
        <v>0.11432417373424524</v>
      </c>
      <c r="AN61" s="10">
        <f>IF(AN5=0,"        ― ",AN60/AN5)</f>
        <v>4.2585444373412031E-2</v>
      </c>
    </row>
    <row r="62" spans="1:40" s="18" customFormat="1" ht="20.25" hidden="1" customHeight="1" thickBot="1" x14ac:dyDescent="0.2">
      <c r="A62" s="237" t="s">
        <v>58</v>
      </c>
      <c r="B62" s="238"/>
      <c r="C62" s="42"/>
      <c r="D62" s="17"/>
      <c r="E62" s="42"/>
      <c r="F62" s="17"/>
      <c r="G62" s="42"/>
      <c r="H62" s="54"/>
      <c r="I62" s="41"/>
      <c r="J62" s="15"/>
      <c r="K62" s="42"/>
      <c r="L62" s="17"/>
      <c r="M62" s="42"/>
      <c r="N62" s="17"/>
      <c r="O62" s="42"/>
      <c r="P62" s="54"/>
      <c r="Q62" s="41"/>
      <c r="R62" s="15"/>
      <c r="S62" s="41"/>
      <c r="T62" s="15"/>
      <c r="U62" s="42"/>
      <c r="V62" s="17"/>
      <c r="W62" s="42"/>
      <c r="X62" s="17"/>
      <c r="Y62" s="42"/>
      <c r="Z62" s="54"/>
      <c r="AA62" s="41"/>
      <c r="AB62" s="15"/>
      <c r="AC62" s="42"/>
      <c r="AD62" s="17"/>
      <c r="AE62" s="42"/>
      <c r="AF62" s="17"/>
      <c r="AG62" s="42"/>
      <c r="AH62" s="54"/>
      <c r="AI62" s="41"/>
      <c r="AJ62" s="15"/>
      <c r="AK62" s="41"/>
      <c r="AL62" s="15"/>
      <c r="AM62" s="41"/>
      <c r="AN62" s="15">
        <f t="shared" si="16"/>
        <v>0</v>
      </c>
    </row>
    <row r="63" spans="1:40" s="18" customFormat="1" ht="20.25" customHeight="1" thickBot="1" x14ac:dyDescent="0.2">
      <c r="A63" s="239" t="s">
        <v>59</v>
      </c>
      <c r="B63" s="240"/>
      <c r="C63" s="42">
        <f t="shared" ref="C63:AM63" si="28">C5*0.04</f>
        <v>480000</v>
      </c>
      <c r="D63" s="17">
        <f t="shared" si="28"/>
        <v>428132.60000000003</v>
      </c>
      <c r="E63" s="42">
        <f t="shared" si="28"/>
        <v>480000</v>
      </c>
      <c r="F63" s="17">
        <f t="shared" si="28"/>
        <v>489365.04000000004</v>
      </c>
      <c r="G63" s="42">
        <f t="shared" si="28"/>
        <v>600000</v>
      </c>
      <c r="H63" s="54">
        <f t="shared" si="28"/>
        <v>513555.96</v>
      </c>
      <c r="I63" s="41">
        <f t="shared" si="28"/>
        <v>1560000</v>
      </c>
      <c r="J63" s="15">
        <f t="shared" si="28"/>
        <v>1431053.6</v>
      </c>
      <c r="K63" s="42">
        <f t="shared" si="28"/>
        <v>600000</v>
      </c>
      <c r="L63" s="17">
        <f t="shared" si="28"/>
        <v>519063.48000000004</v>
      </c>
      <c r="M63" s="42">
        <f t="shared" si="28"/>
        <v>600000</v>
      </c>
      <c r="N63" s="17">
        <f t="shared" si="28"/>
        <v>611028.32000000007</v>
      </c>
      <c r="O63" s="42">
        <f t="shared" si="28"/>
        <v>600000</v>
      </c>
      <c r="P63" s="54">
        <f t="shared" si="28"/>
        <v>573923.80000000005</v>
      </c>
      <c r="Q63" s="41">
        <f t="shared" si="28"/>
        <v>1800000</v>
      </c>
      <c r="R63" s="15">
        <f t="shared" si="28"/>
        <v>1704015.6</v>
      </c>
      <c r="S63" s="41">
        <f t="shared" si="28"/>
        <v>3360000</v>
      </c>
      <c r="T63" s="15">
        <f t="shared" si="28"/>
        <v>3135069.2</v>
      </c>
      <c r="U63" s="42">
        <f t="shared" si="28"/>
        <v>600000</v>
      </c>
      <c r="V63" s="17">
        <f t="shared" si="28"/>
        <v>633760.36</v>
      </c>
      <c r="W63" s="42">
        <f t="shared" si="28"/>
        <v>600000</v>
      </c>
      <c r="X63" s="17">
        <f t="shared" si="28"/>
        <v>612616.52</v>
      </c>
      <c r="Y63" s="42">
        <f t="shared" si="28"/>
        <v>840000</v>
      </c>
      <c r="Z63" s="54">
        <f t="shared" si="28"/>
        <v>595525.56000000006</v>
      </c>
      <c r="AA63" s="41">
        <f t="shared" si="28"/>
        <v>2040000</v>
      </c>
      <c r="AB63" s="15">
        <f t="shared" si="28"/>
        <v>1841902.44</v>
      </c>
      <c r="AC63" s="42">
        <f t="shared" si="28"/>
        <v>840000</v>
      </c>
      <c r="AD63" s="17">
        <f t="shared" si="28"/>
        <v>575815.6</v>
      </c>
      <c r="AE63" s="42">
        <f t="shared" si="28"/>
        <v>840000</v>
      </c>
      <c r="AF63" s="17">
        <f t="shared" si="28"/>
        <v>582861.96</v>
      </c>
      <c r="AG63" s="42">
        <f t="shared" si="28"/>
        <v>1000000</v>
      </c>
      <c r="AH63" s="54">
        <f t="shared" si="28"/>
        <v>568644.80000000005</v>
      </c>
      <c r="AI63" s="41">
        <f t="shared" si="28"/>
        <v>2680000</v>
      </c>
      <c r="AJ63" s="15">
        <f t="shared" si="28"/>
        <v>1727322.36</v>
      </c>
      <c r="AK63" s="41">
        <f t="shared" si="28"/>
        <v>4720000</v>
      </c>
      <c r="AL63" s="15">
        <f t="shared" si="28"/>
        <v>3569224.8000000003</v>
      </c>
      <c r="AM63" s="41">
        <f t="shared" si="28"/>
        <v>8080000</v>
      </c>
      <c r="AN63" s="15">
        <f>SUM(D63,F63,H63,L63,N63,P63,V63,X63,Z63,AD63,AF63,AH63)</f>
        <v>6704294</v>
      </c>
    </row>
    <row r="64" spans="1:40" ht="20.25" customHeight="1" x14ac:dyDescent="0.15">
      <c r="A64" s="218" t="s">
        <v>60</v>
      </c>
      <c r="B64" s="219"/>
      <c r="C64" s="37">
        <f>C60-C63+C62</f>
        <v>234537.48053248134</v>
      </c>
      <c r="D64" s="9">
        <f t="shared" ref="D64:AM64" si="29">D60-D63+D62</f>
        <v>209695.19</v>
      </c>
      <c r="E64" s="37">
        <f t="shared" si="29"/>
        <v>234537.48053248134</v>
      </c>
      <c r="F64" s="9">
        <f t="shared" si="29"/>
        <v>676580.75</v>
      </c>
      <c r="G64" s="37">
        <f t="shared" si="29"/>
        <v>865521.96301150601</v>
      </c>
      <c r="H64" s="49">
        <f>H60-H63+H62</f>
        <v>-158835.16999999998</v>
      </c>
      <c r="I64" s="37">
        <f t="shared" si="29"/>
        <v>6957798.272227291</v>
      </c>
      <c r="J64" s="9">
        <f>J60-J63+J62</f>
        <v>6971395.4000000004</v>
      </c>
      <c r="K64" s="37">
        <f t="shared" si="29"/>
        <v>865521.96301150601</v>
      </c>
      <c r="L64" s="9">
        <f t="shared" si="29"/>
        <v>23205.309999999998</v>
      </c>
      <c r="M64" s="37">
        <f t="shared" si="29"/>
        <v>865521.96301150601</v>
      </c>
      <c r="N64" s="9">
        <f t="shared" si="29"/>
        <v>385641.47</v>
      </c>
      <c r="O64" s="37">
        <f t="shared" si="29"/>
        <v>865521.96301150601</v>
      </c>
      <c r="P64" s="49">
        <f t="shared" si="29"/>
        <v>-237424.01</v>
      </c>
      <c r="Q64" s="37">
        <f t="shared" si="29"/>
        <v>4227065.889034505</v>
      </c>
      <c r="R64" s="9">
        <f t="shared" si="29"/>
        <v>2824347.77</v>
      </c>
      <c r="S64" s="37">
        <f t="shared" si="29"/>
        <v>11184864.161261801</v>
      </c>
      <c r="T64" s="9">
        <f t="shared" si="29"/>
        <v>9795743.1700000018</v>
      </c>
      <c r="U64" s="37">
        <f t="shared" si="29"/>
        <v>865521.96301150601</v>
      </c>
      <c r="V64" s="9">
        <f t="shared" si="29"/>
        <v>678942.43</v>
      </c>
      <c r="W64" s="37">
        <f t="shared" si="29"/>
        <v>865521.96301150601</v>
      </c>
      <c r="X64" s="9">
        <f t="shared" si="29"/>
        <v>604350.27</v>
      </c>
      <c r="Y64" s="37">
        <f t="shared" si="29"/>
        <v>2127490.9279695498</v>
      </c>
      <c r="Z64" s="49">
        <f t="shared" si="29"/>
        <v>-205814.77000000002</v>
      </c>
      <c r="AA64" s="37">
        <f t="shared" si="29"/>
        <v>9481736.2021433711</v>
      </c>
      <c r="AB64" s="9">
        <f t="shared" si="29"/>
        <v>7049570.5600000005</v>
      </c>
      <c r="AC64" s="37">
        <f t="shared" si="29"/>
        <v>2127490.9279695498</v>
      </c>
      <c r="AD64" s="9">
        <f t="shared" si="29"/>
        <v>-114066.80999999994</v>
      </c>
      <c r="AE64" s="37">
        <f t="shared" si="29"/>
        <v>2127490.9279695498</v>
      </c>
      <c r="AF64" s="9">
        <f t="shared" si="29"/>
        <v>-1587914.17</v>
      </c>
      <c r="AG64" s="37">
        <f t="shared" si="29"/>
        <v>2968803.5712749148</v>
      </c>
      <c r="AH64" s="49">
        <f t="shared" si="29"/>
        <v>158978.99</v>
      </c>
      <c r="AI64" s="37">
        <f t="shared" si="29"/>
        <v>7223785.4272140078</v>
      </c>
      <c r="AJ64" s="9">
        <f t="shared" si="29"/>
        <v>-1543001.9899999991</v>
      </c>
      <c r="AK64" s="37">
        <f t="shared" si="29"/>
        <v>16705521.629357394</v>
      </c>
      <c r="AL64" s="9">
        <f t="shared" si="29"/>
        <v>5506568.5700000003</v>
      </c>
      <c r="AM64" s="37">
        <f t="shared" si="29"/>
        <v>15013483.094317537</v>
      </c>
      <c r="AN64" s="9">
        <f>SUM(D64,F64,H64,L64,N64,P64,V64,X64,Z64,AD64,AF64,AH64)</f>
        <v>433339.48000000021</v>
      </c>
    </row>
    <row r="65" spans="1:40" s="16" customFormat="1" ht="20.25" customHeight="1" thickBot="1" x14ac:dyDescent="0.2">
      <c r="A65" s="210" t="s">
        <v>61</v>
      </c>
      <c r="B65" s="211"/>
      <c r="C65" s="38">
        <f t="shared" ref="C65:AN65" si="30">IF(C11=0,"        ― ",C64/C5)</f>
        <v>1.9544790044373445E-2</v>
      </c>
      <c r="D65" s="10">
        <f t="shared" si="30"/>
        <v>1.9591611570807736E-2</v>
      </c>
      <c r="E65" s="38">
        <f t="shared" si="30"/>
        <v>1.9544790044373445E-2</v>
      </c>
      <c r="F65" s="10">
        <f t="shared" si="30"/>
        <v>5.5302744961103066E-2</v>
      </c>
      <c r="G65" s="38">
        <f t="shared" si="30"/>
        <v>5.7701464200767071E-2</v>
      </c>
      <c r="H65" s="50">
        <f t="shared" si="30"/>
        <v>-1.2371401161423575E-2</v>
      </c>
      <c r="I65" s="38">
        <f t="shared" si="30"/>
        <v>0.17840508390326387</v>
      </c>
      <c r="J65" s="10">
        <f t="shared" si="30"/>
        <v>0.19486049718892431</v>
      </c>
      <c r="K65" s="38">
        <f t="shared" si="30"/>
        <v>5.7701464200767071E-2</v>
      </c>
      <c r="L65" s="10">
        <f t="shared" si="30"/>
        <v>1.7882444744523347E-3</v>
      </c>
      <c r="M65" s="38">
        <f t="shared" si="30"/>
        <v>5.7701464200767071E-2</v>
      </c>
      <c r="N65" s="10">
        <f t="shared" si="30"/>
        <v>2.524540728324998E-2</v>
      </c>
      <c r="O65" s="38">
        <f t="shared" si="30"/>
        <v>5.7701464200767071E-2</v>
      </c>
      <c r="P65" s="50">
        <f t="shared" si="30"/>
        <v>-1.6547423891464338E-2</v>
      </c>
      <c r="Q65" s="38">
        <f t="shared" si="30"/>
        <v>9.3934797534100112E-2</v>
      </c>
      <c r="R65" s="10">
        <f t="shared" si="30"/>
        <v>6.6298636467882102E-2</v>
      </c>
      <c r="S65" s="38">
        <f t="shared" si="30"/>
        <v>0.13315314477692619</v>
      </c>
      <c r="T65" s="10">
        <f t="shared" si="30"/>
        <v>0.12498279999688686</v>
      </c>
      <c r="U65" s="38">
        <f t="shared" si="30"/>
        <v>5.7701464200767071E-2</v>
      </c>
      <c r="V65" s="10">
        <f t="shared" si="30"/>
        <v>4.2851681667184109E-2</v>
      </c>
      <c r="W65" s="38">
        <f t="shared" si="30"/>
        <v>5.7701464200767071E-2</v>
      </c>
      <c r="X65" s="10">
        <f t="shared" si="30"/>
        <v>3.9460265942550816E-2</v>
      </c>
      <c r="Y65" s="38">
        <f t="shared" si="30"/>
        <v>0.10130909180807379</v>
      </c>
      <c r="Z65" s="50">
        <f t="shared" si="30"/>
        <v>-1.3824076333516231E-2</v>
      </c>
      <c r="AA65" s="38">
        <f t="shared" si="30"/>
        <v>0.18591639612045827</v>
      </c>
      <c r="AB65" s="10">
        <f t="shared" si="30"/>
        <v>0.15309324548155764</v>
      </c>
      <c r="AC65" s="38">
        <f t="shared" si="30"/>
        <v>0.10130909180807379</v>
      </c>
      <c r="AD65" s="10">
        <f t="shared" si="30"/>
        <v>-7.9238429802874349E-3</v>
      </c>
      <c r="AE65" s="38">
        <f t="shared" si="30"/>
        <v>0.10130909180807379</v>
      </c>
      <c r="AF65" s="10">
        <f t="shared" si="30"/>
        <v>-0.108973601227982</v>
      </c>
      <c r="AG65" s="38">
        <f t="shared" si="30"/>
        <v>0.1187521428509966</v>
      </c>
      <c r="AH65" s="50">
        <f t="shared" si="30"/>
        <v>1.1183008443935475E-2</v>
      </c>
      <c r="AI65" s="38">
        <f t="shared" si="30"/>
        <v>0.10781769294349265</v>
      </c>
      <c r="AJ65" s="10">
        <f t="shared" si="30"/>
        <v>-3.5731650923571653E-2</v>
      </c>
      <c r="AK65" s="38">
        <f t="shared" si="30"/>
        <v>0.14157221719794402</v>
      </c>
      <c r="AL65" s="10">
        <f t="shared" si="30"/>
        <v>6.1711647526376041E-2</v>
      </c>
      <c r="AM65" s="38">
        <f t="shared" si="30"/>
        <v>7.4324173734245227E-2</v>
      </c>
      <c r="AN65" s="10">
        <f t="shared" si="30"/>
        <v>2.5854443734120267E-3</v>
      </c>
    </row>
  </sheetData>
  <mergeCells count="36">
    <mergeCell ref="C1:I1"/>
    <mergeCell ref="K1:S1"/>
    <mergeCell ref="U1:AA1"/>
    <mergeCell ref="AC1:AN1"/>
    <mergeCell ref="A2:B2"/>
    <mergeCell ref="A21:B21"/>
    <mergeCell ref="W3:X3"/>
    <mergeCell ref="Y3:Z3"/>
    <mergeCell ref="AA3:AB3"/>
    <mergeCell ref="AC3:AD3"/>
    <mergeCell ref="K3:L3"/>
    <mergeCell ref="M3:N3"/>
    <mergeCell ref="O3:P3"/>
    <mergeCell ref="Q3:R3"/>
    <mergeCell ref="S3:T3"/>
    <mergeCell ref="U3:V3"/>
    <mergeCell ref="A3:B3"/>
    <mergeCell ref="C3:D3"/>
    <mergeCell ref="E3:F3"/>
    <mergeCell ref="G3:H3"/>
    <mergeCell ref="I3:J3"/>
    <mergeCell ref="AI3:AJ3"/>
    <mergeCell ref="AK3:AL3"/>
    <mergeCell ref="AM3:AN3"/>
    <mergeCell ref="A4:B4"/>
    <mergeCell ref="A5:B5"/>
    <mergeCell ref="AE3:AF3"/>
    <mergeCell ref="AG3:AH3"/>
    <mergeCell ref="A64:B64"/>
    <mergeCell ref="A65:B65"/>
    <mergeCell ref="A22:B22"/>
    <mergeCell ref="A59:B59"/>
    <mergeCell ref="A60:B60"/>
    <mergeCell ref="A61:B61"/>
    <mergeCell ref="A62:B62"/>
    <mergeCell ref="A63:B63"/>
  </mergeCells>
  <phoneticPr fontId="3"/>
  <printOptions horizontalCentered="1"/>
  <pageMargins left="0" right="0" top="0.9055118110236221" bottom="0.15748031496062992" header="0.59055118110236227" footer="0"/>
  <pageSetup paperSize="8" scale="55" fitToWidth="2" orientation="landscape" r:id="rId1"/>
  <headerFooter alignWithMargins="0">
    <oddHeader xml:space="preserve">&amp;L&amp;D&amp;T&amp;C&amp;"ＭＳ Ｐゴシック,太字"&amp;20第22期　売上・粗利・経費　実績 計画&amp;R
</oddHeader>
    <oddFooter xml:space="preserve">&amp;R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N65"/>
  <sheetViews>
    <sheetView view="pageBreakPreview" zoomScale="70" zoomScaleNormal="100" zoomScaleSheetLayoutView="70" zoomScalePageLayoutView="80" workbookViewId="0">
      <pane xSplit="2" topLeftCell="K1" activePane="topRight" state="frozen"/>
      <selection activeCell="G23" sqref="G23"/>
      <selection pane="topRight" sqref="A1:XFD1048576"/>
    </sheetView>
  </sheetViews>
  <sheetFormatPr defaultRowHeight="14.25" outlineLevelCol="2" x14ac:dyDescent="0.15"/>
  <cols>
    <col min="1" max="1" width="9" style="2" customWidth="1"/>
    <col min="2" max="2" width="18.625" style="2" customWidth="1"/>
    <col min="3" max="3" width="13.25" style="2" customWidth="1" outlineLevel="2"/>
    <col min="4" max="4" width="13.25" style="2" customWidth="1" outlineLevel="1"/>
    <col min="5" max="5" width="13.25" style="2" customWidth="1" outlineLevel="2"/>
    <col min="6" max="6" width="13.25" style="2" customWidth="1" outlineLevel="1"/>
    <col min="7" max="7" width="13.25" style="2" customWidth="1" outlineLevel="2"/>
    <col min="8" max="8" width="13.25" style="2" customWidth="1" outlineLevel="1"/>
    <col min="9" max="10" width="13.25" style="2" hidden="1" customWidth="1"/>
    <col min="11" max="11" width="13.25" style="2" customWidth="1" outlineLevel="2"/>
    <col min="12" max="12" width="13.25" style="2" customWidth="1" outlineLevel="1"/>
    <col min="13" max="13" width="13.25" style="2" customWidth="1" outlineLevel="2"/>
    <col min="14" max="14" width="13.25" style="2" customWidth="1" outlineLevel="1"/>
    <col min="15" max="15" width="13.25" style="2" customWidth="1" outlineLevel="2"/>
    <col min="16" max="16" width="13.25" style="2" customWidth="1" outlineLevel="1"/>
    <col min="17" max="20" width="13.25" style="2" hidden="1" customWidth="1"/>
    <col min="21" max="21" width="13.25" style="2" customWidth="1" outlineLevel="2"/>
    <col min="22" max="22" width="13.25" style="2" customWidth="1" outlineLevel="1"/>
    <col min="23" max="23" width="13.25" style="2" customWidth="1" outlineLevel="2"/>
    <col min="24" max="24" width="13.25" style="2" customWidth="1" outlineLevel="1"/>
    <col min="25" max="25" width="13.25" style="2" customWidth="1" outlineLevel="2"/>
    <col min="26" max="26" width="13.25" style="2" customWidth="1" outlineLevel="1"/>
    <col min="27" max="28" width="13.25" style="2" hidden="1" customWidth="1"/>
    <col min="29" max="29" width="13.25" style="2" customWidth="1" outlineLevel="2"/>
    <col min="30" max="30" width="13.25" style="2" customWidth="1" outlineLevel="1"/>
    <col min="31" max="31" width="13.25" style="2" customWidth="1" outlineLevel="2"/>
    <col min="32" max="32" width="13.25" style="2" customWidth="1" outlineLevel="1"/>
    <col min="33" max="33" width="13.25" style="2" customWidth="1" outlineLevel="2"/>
    <col min="34" max="34" width="13.25" style="2" customWidth="1" outlineLevel="1"/>
    <col min="35" max="38" width="13.25" style="2" hidden="1" customWidth="1"/>
    <col min="39" max="40" width="13.25" style="2" customWidth="1"/>
    <col min="41" max="274" width="9" style="2"/>
    <col min="275" max="275" width="9" style="2" customWidth="1"/>
    <col min="276" max="276" width="18.625" style="2" customWidth="1"/>
    <col min="277" max="277" width="0" style="2" hidden="1" customWidth="1"/>
    <col min="278" max="296" width="13.25" style="2" customWidth="1"/>
    <col min="297" max="530" width="9" style="2"/>
    <col min="531" max="531" width="9" style="2" customWidth="1"/>
    <col min="532" max="532" width="18.625" style="2" customWidth="1"/>
    <col min="533" max="533" width="0" style="2" hidden="1" customWidth="1"/>
    <col min="534" max="552" width="13.25" style="2" customWidth="1"/>
    <col min="553" max="786" width="9" style="2"/>
    <col min="787" max="787" width="9" style="2" customWidth="1"/>
    <col min="788" max="788" width="18.625" style="2" customWidth="1"/>
    <col min="789" max="789" width="0" style="2" hidden="1" customWidth="1"/>
    <col min="790" max="808" width="13.25" style="2" customWidth="1"/>
    <col min="809" max="1042" width="9" style="2"/>
    <col min="1043" max="1043" width="9" style="2" customWidth="1"/>
    <col min="1044" max="1044" width="18.625" style="2" customWidth="1"/>
    <col min="1045" max="1045" width="0" style="2" hidden="1" customWidth="1"/>
    <col min="1046" max="1064" width="13.25" style="2" customWidth="1"/>
    <col min="1065" max="1298" width="9" style="2"/>
    <col min="1299" max="1299" width="9" style="2" customWidth="1"/>
    <col min="1300" max="1300" width="18.625" style="2" customWidth="1"/>
    <col min="1301" max="1301" width="0" style="2" hidden="1" customWidth="1"/>
    <col min="1302" max="1320" width="13.25" style="2" customWidth="1"/>
    <col min="1321" max="1554" width="9" style="2"/>
    <col min="1555" max="1555" width="9" style="2" customWidth="1"/>
    <col min="1556" max="1556" width="18.625" style="2" customWidth="1"/>
    <col min="1557" max="1557" width="0" style="2" hidden="1" customWidth="1"/>
    <col min="1558" max="1576" width="13.25" style="2" customWidth="1"/>
    <col min="1577" max="1810" width="9" style="2"/>
    <col min="1811" max="1811" width="9" style="2" customWidth="1"/>
    <col min="1812" max="1812" width="18.625" style="2" customWidth="1"/>
    <col min="1813" max="1813" width="0" style="2" hidden="1" customWidth="1"/>
    <col min="1814" max="1832" width="13.25" style="2" customWidth="1"/>
    <col min="1833" max="2066" width="9" style="2"/>
    <col min="2067" max="2067" width="9" style="2" customWidth="1"/>
    <col min="2068" max="2068" width="18.625" style="2" customWidth="1"/>
    <col min="2069" max="2069" width="0" style="2" hidden="1" customWidth="1"/>
    <col min="2070" max="2088" width="13.25" style="2" customWidth="1"/>
    <col min="2089" max="2322" width="9" style="2"/>
    <col min="2323" max="2323" width="9" style="2" customWidth="1"/>
    <col min="2324" max="2324" width="18.625" style="2" customWidth="1"/>
    <col min="2325" max="2325" width="0" style="2" hidden="1" customWidth="1"/>
    <col min="2326" max="2344" width="13.25" style="2" customWidth="1"/>
    <col min="2345" max="2578" width="9" style="2"/>
    <col min="2579" max="2579" width="9" style="2" customWidth="1"/>
    <col min="2580" max="2580" width="18.625" style="2" customWidth="1"/>
    <col min="2581" max="2581" width="0" style="2" hidden="1" customWidth="1"/>
    <col min="2582" max="2600" width="13.25" style="2" customWidth="1"/>
    <col min="2601" max="2834" width="9" style="2"/>
    <col min="2835" max="2835" width="9" style="2" customWidth="1"/>
    <col min="2836" max="2836" width="18.625" style="2" customWidth="1"/>
    <col min="2837" max="2837" width="0" style="2" hidden="1" customWidth="1"/>
    <col min="2838" max="2856" width="13.25" style="2" customWidth="1"/>
    <col min="2857" max="3090" width="9" style="2"/>
    <col min="3091" max="3091" width="9" style="2" customWidth="1"/>
    <col min="3092" max="3092" width="18.625" style="2" customWidth="1"/>
    <col min="3093" max="3093" width="0" style="2" hidden="1" customWidth="1"/>
    <col min="3094" max="3112" width="13.25" style="2" customWidth="1"/>
    <col min="3113" max="3346" width="9" style="2"/>
    <col min="3347" max="3347" width="9" style="2" customWidth="1"/>
    <col min="3348" max="3348" width="18.625" style="2" customWidth="1"/>
    <col min="3349" max="3349" width="0" style="2" hidden="1" customWidth="1"/>
    <col min="3350" max="3368" width="13.25" style="2" customWidth="1"/>
    <col min="3369" max="3602" width="9" style="2"/>
    <col min="3603" max="3603" width="9" style="2" customWidth="1"/>
    <col min="3604" max="3604" width="18.625" style="2" customWidth="1"/>
    <col min="3605" max="3605" width="0" style="2" hidden="1" customWidth="1"/>
    <col min="3606" max="3624" width="13.25" style="2" customWidth="1"/>
    <col min="3625" max="3858" width="9" style="2"/>
    <col min="3859" max="3859" width="9" style="2" customWidth="1"/>
    <col min="3860" max="3860" width="18.625" style="2" customWidth="1"/>
    <col min="3861" max="3861" width="0" style="2" hidden="1" customWidth="1"/>
    <col min="3862" max="3880" width="13.25" style="2" customWidth="1"/>
    <col min="3881" max="4114" width="9" style="2"/>
    <col min="4115" max="4115" width="9" style="2" customWidth="1"/>
    <col min="4116" max="4116" width="18.625" style="2" customWidth="1"/>
    <col min="4117" max="4117" width="0" style="2" hidden="1" customWidth="1"/>
    <col min="4118" max="4136" width="13.25" style="2" customWidth="1"/>
    <col min="4137" max="4370" width="9" style="2"/>
    <col min="4371" max="4371" width="9" style="2" customWidth="1"/>
    <col min="4372" max="4372" width="18.625" style="2" customWidth="1"/>
    <col min="4373" max="4373" width="0" style="2" hidden="1" customWidth="1"/>
    <col min="4374" max="4392" width="13.25" style="2" customWidth="1"/>
    <col min="4393" max="4626" width="9" style="2"/>
    <col min="4627" max="4627" width="9" style="2" customWidth="1"/>
    <col min="4628" max="4628" width="18.625" style="2" customWidth="1"/>
    <col min="4629" max="4629" width="0" style="2" hidden="1" customWidth="1"/>
    <col min="4630" max="4648" width="13.25" style="2" customWidth="1"/>
    <col min="4649" max="4882" width="9" style="2"/>
    <col min="4883" max="4883" width="9" style="2" customWidth="1"/>
    <col min="4884" max="4884" width="18.625" style="2" customWidth="1"/>
    <col min="4885" max="4885" width="0" style="2" hidden="1" customWidth="1"/>
    <col min="4886" max="4904" width="13.25" style="2" customWidth="1"/>
    <col min="4905" max="5138" width="9" style="2"/>
    <col min="5139" max="5139" width="9" style="2" customWidth="1"/>
    <col min="5140" max="5140" width="18.625" style="2" customWidth="1"/>
    <col min="5141" max="5141" width="0" style="2" hidden="1" customWidth="1"/>
    <col min="5142" max="5160" width="13.25" style="2" customWidth="1"/>
    <col min="5161" max="5394" width="9" style="2"/>
    <col min="5395" max="5395" width="9" style="2" customWidth="1"/>
    <col min="5396" max="5396" width="18.625" style="2" customWidth="1"/>
    <col min="5397" max="5397" width="0" style="2" hidden="1" customWidth="1"/>
    <col min="5398" max="5416" width="13.25" style="2" customWidth="1"/>
    <col min="5417" max="5650" width="9" style="2"/>
    <col min="5651" max="5651" width="9" style="2" customWidth="1"/>
    <col min="5652" max="5652" width="18.625" style="2" customWidth="1"/>
    <col min="5653" max="5653" width="0" style="2" hidden="1" customWidth="1"/>
    <col min="5654" max="5672" width="13.25" style="2" customWidth="1"/>
    <col min="5673" max="5906" width="9" style="2"/>
    <col min="5907" max="5907" width="9" style="2" customWidth="1"/>
    <col min="5908" max="5908" width="18.625" style="2" customWidth="1"/>
    <col min="5909" max="5909" width="0" style="2" hidden="1" customWidth="1"/>
    <col min="5910" max="5928" width="13.25" style="2" customWidth="1"/>
    <col min="5929" max="6162" width="9" style="2"/>
    <col min="6163" max="6163" width="9" style="2" customWidth="1"/>
    <col min="6164" max="6164" width="18.625" style="2" customWidth="1"/>
    <col min="6165" max="6165" width="0" style="2" hidden="1" customWidth="1"/>
    <col min="6166" max="6184" width="13.25" style="2" customWidth="1"/>
    <col min="6185" max="6418" width="9" style="2"/>
    <col min="6419" max="6419" width="9" style="2" customWidth="1"/>
    <col min="6420" max="6420" width="18.625" style="2" customWidth="1"/>
    <col min="6421" max="6421" width="0" style="2" hidden="1" customWidth="1"/>
    <col min="6422" max="6440" width="13.25" style="2" customWidth="1"/>
    <col min="6441" max="6674" width="9" style="2"/>
    <col min="6675" max="6675" width="9" style="2" customWidth="1"/>
    <col min="6676" max="6676" width="18.625" style="2" customWidth="1"/>
    <col min="6677" max="6677" width="0" style="2" hidden="1" customWidth="1"/>
    <col min="6678" max="6696" width="13.25" style="2" customWidth="1"/>
    <col min="6697" max="6930" width="9" style="2"/>
    <col min="6931" max="6931" width="9" style="2" customWidth="1"/>
    <col min="6932" max="6932" width="18.625" style="2" customWidth="1"/>
    <col min="6933" max="6933" width="0" style="2" hidden="1" customWidth="1"/>
    <col min="6934" max="6952" width="13.25" style="2" customWidth="1"/>
    <col min="6953" max="7186" width="9" style="2"/>
    <col min="7187" max="7187" width="9" style="2" customWidth="1"/>
    <col min="7188" max="7188" width="18.625" style="2" customWidth="1"/>
    <col min="7189" max="7189" width="0" style="2" hidden="1" customWidth="1"/>
    <col min="7190" max="7208" width="13.25" style="2" customWidth="1"/>
    <col min="7209" max="7442" width="9" style="2"/>
    <col min="7443" max="7443" width="9" style="2" customWidth="1"/>
    <col min="7444" max="7444" width="18.625" style="2" customWidth="1"/>
    <col min="7445" max="7445" width="0" style="2" hidden="1" customWidth="1"/>
    <col min="7446" max="7464" width="13.25" style="2" customWidth="1"/>
    <col min="7465" max="7698" width="9" style="2"/>
    <col min="7699" max="7699" width="9" style="2" customWidth="1"/>
    <col min="7700" max="7700" width="18.625" style="2" customWidth="1"/>
    <col min="7701" max="7701" width="0" style="2" hidden="1" customWidth="1"/>
    <col min="7702" max="7720" width="13.25" style="2" customWidth="1"/>
    <col min="7721" max="7954" width="9" style="2"/>
    <col min="7955" max="7955" width="9" style="2" customWidth="1"/>
    <col min="7956" max="7956" width="18.625" style="2" customWidth="1"/>
    <col min="7957" max="7957" width="0" style="2" hidden="1" customWidth="1"/>
    <col min="7958" max="7976" width="13.25" style="2" customWidth="1"/>
    <col min="7977" max="8210" width="9" style="2"/>
    <col min="8211" max="8211" width="9" style="2" customWidth="1"/>
    <col min="8212" max="8212" width="18.625" style="2" customWidth="1"/>
    <col min="8213" max="8213" width="0" style="2" hidden="1" customWidth="1"/>
    <col min="8214" max="8232" width="13.25" style="2" customWidth="1"/>
    <col min="8233" max="8466" width="9" style="2"/>
    <col min="8467" max="8467" width="9" style="2" customWidth="1"/>
    <col min="8468" max="8468" width="18.625" style="2" customWidth="1"/>
    <col min="8469" max="8469" width="0" style="2" hidden="1" customWidth="1"/>
    <col min="8470" max="8488" width="13.25" style="2" customWidth="1"/>
    <col min="8489" max="8722" width="9" style="2"/>
    <col min="8723" max="8723" width="9" style="2" customWidth="1"/>
    <col min="8724" max="8724" width="18.625" style="2" customWidth="1"/>
    <col min="8725" max="8725" width="0" style="2" hidden="1" customWidth="1"/>
    <col min="8726" max="8744" width="13.25" style="2" customWidth="1"/>
    <col min="8745" max="8978" width="9" style="2"/>
    <col min="8979" max="8979" width="9" style="2" customWidth="1"/>
    <col min="8980" max="8980" width="18.625" style="2" customWidth="1"/>
    <col min="8981" max="8981" width="0" style="2" hidden="1" customWidth="1"/>
    <col min="8982" max="9000" width="13.25" style="2" customWidth="1"/>
    <col min="9001" max="9234" width="9" style="2"/>
    <col min="9235" max="9235" width="9" style="2" customWidth="1"/>
    <col min="9236" max="9236" width="18.625" style="2" customWidth="1"/>
    <col min="9237" max="9237" width="0" style="2" hidden="1" customWidth="1"/>
    <col min="9238" max="9256" width="13.25" style="2" customWidth="1"/>
    <col min="9257" max="9490" width="9" style="2"/>
    <col min="9491" max="9491" width="9" style="2" customWidth="1"/>
    <col min="9492" max="9492" width="18.625" style="2" customWidth="1"/>
    <col min="9493" max="9493" width="0" style="2" hidden="1" customWidth="1"/>
    <col min="9494" max="9512" width="13.25" style="2" customWidth="1"/>
    <col min="9513" max="9746" width="9" style="2"/>
    <col min="9747" max="9747" width="9" style="2" customWidth="1"/>
    <col min="9748" max="9748" width="18.625" style="2" customWidth="1"/>
    <col min="9749" max="9749" width="0" style="2" hidden="1" customWidth="1"/>
    <col min="9750" max="9768" width="13.25" style="2" customWidth="1"/>
    <col min="9769" max="10002" width="9" style="2"/>
    <col min="10003" max="10003" width="9" style="2" customWidth="1"/>
    <col min="10004" max="10004" width="18.625" style="2" customWidth="1"/>
    <col min="10005" max="10005" width="0" style="2" hidden="1" customWidth="1"/>
    <col min="10006" max="10024" width="13.25" style="2" customWidth="1"/>
    <col min="10025" max="10258" width="9" style="2"/>
    <col min="10259" max="10259" width="9" style="2" customWidth="1"/>
    <col min="10260" max="10260" width="18.625" style="2" customWidth="1"/>
    <col min="10261" max="10261" width="0" style="2" hidden="1" customWidth="1"/>
    <col min="10262" max="10280" width="13.25" style="2" customWidth="1"/>
    <col min="10281" max="10514" width="9" style="2"/>
    <col min="10515" max="10515" width="9" style="2" customWidth="1"/>
    <col min="10516" max="10516" width="18.625" style="2" customWidth="1"/>
    <col min="10517" max="10517" width="0" style="2" hidden="1" customWidth="1"/>
    <col min="10518" max="10536" width="13.25" style="2" customWidth="1"/>
    <col min="10537" max="10770" width="9" style="2"/>
    <col min="10771" max="10771" width="9" style="2" customWidth="1"/>
    <col min="10772" max="10772" width="18.625" style="2" customWidth="1"/>
    <col min="10773" max="10773" width="0" style="2" hidden="1" customWidth="1"/>
    <col min="10774" max="10792" width="13.25" style="2" customWidth="1"/>
    <col min="10793" max="11026" width="9" style="2"/>
    <col min="11027" max="11027" width="9" style="2" customWidth="1"/>
    <col min="11028" max="11028" width="18.625" style="2" customWidth="1"/>
    <col min="11029" max="11029" width="0" style="2" hidden="1" customWidth="1"/>
    <col min="11030" max="11048" width="13.25" style="2" customWidth="1"/>
    <col min="11049" max="11282" width="9" style="2"/>
    <col min="11283" max="11283" width="9" style="2" customWidth="1"/>
    <col min="11284" max="11284" width="18.625" style="2" customWidth="1"/>
    <col min="11285" max="11285" width="0" style="2" hidden="1" customWidth="1"/>
    <col min="11286" max="11304" width="13.25" style="2" customWidth="1"/>
    <col min="11305" max="11538" width="9" style="2"/>
    <col min="11539" max="11539" width="9" style="2" customWidth="1"/>
    <col min="11540" max="11540" width="18.625" style="2" customWidth="1"/>
    <col min="11541" max="11541" width="0" style="2" hidden="1" customWidth="1"/>
    <col min="11542" max="11560" width="13.25" style="2" customWidth="1"/>
    <col min="11561" max="11794" width="9" style="2"/>
    <col min="11795" max="11795" width="9" style="2" customWidth="1"/>
    <col min="11796" max="11796" width="18.625" style="2" customWidth="1"/>
    <col min="11797" max="11797" width="0" style="2" hidden="1" customWidth="1"/>
    <col min="11798" max="11816" width="13.25" style="2" customWidth="1"/>
    <col min="11817" max="12050" width="9" style="2"/>
    <col min="12051" max="12051" width="9" style="2" customWidth="1"/>
    <col min="12052" max="12052" width="18.625" style="2" customWidth="1"/>
    <col min="12053" max="12053" width="0" style="2" hidden="1" customWidth="1"/>
    <col min="12054" max="12072" width="13.25" style="2" customWidth="1"/>
    <col min="12073" max="12306" width="9" style="2"/>
    <col min="12307" max="12307" width="9" style="2" customWidth="1"/>
    <col min="12308" max="12308" width="18.625" style="2" customWidth="1"/>
    <col min="12309" max="12309" width="0" style="2" hidden="1" customWidth="1"/>
    <col min="12310" max="12328" width="13.25" style="2" customWidth="1"/>
    <col min="12329" max="12562" width="9" style="2"/>
    <col min="12563" max="12563" width="9" style="2" customWidth="1"/>
    <col min="12564" max="12564" width="18.625" style="2" customWidth="1"/>
    <col min="12565" max="12565" width="0" style="2" hidden="1" customWidth="1"/>
    <col min="12566" max="12584" width="13.25" style="2" customWidth="1"/>
    <col min="12585" max="12818" width="9" style="2"/>
    <col min="12819" max="12819" width="9" style="2" customWidth="1"/>
    <col min="12820" max="12820" width="18.625" style="2" customWidth="1"/>
    <col min="12821" max="12821" width="0" style="2" hidden="1" customWidth="1"/>
    <col min="12822" max="12840" width="13.25" style="2" customWidth="1"/>
    <col min="12841" max="13074" width="9" style="2"/>
    <col min="13075" max="13075" width="9" style="2" customWidth="1"/>
    <col min="13076" max="13076" width="18.625" style="2" customWidth="1"/>
    <col min="13077" max="13077" width="0" style="2" hidden="1" customWidth="1"/>
    <col min="13078" max="13096" width="13.25" style="2" customWidth="1"/>
    <col min="13097" max="13330" width="9" style="2"/>
    <col min="13331" max="13331" width="9" style="2" customWidth="1"/>
    <col min="13332" max="13332" width="18.625" style="2" customWidth="1"/>
    <col min="13333" max="13333" width="0" style="2" hidden="1" customWidth="1"/>
    <col min="13334" max="13352" width="13.25" style="2" customWidth="1"/>
    <col min="13353" max="13586" width="9" style="2"/>
    <col min="13587" max="13587" width="9" style="2" customWidth="1"/>
    <col min="13588" max="13588" width="18.625" style="2" customWidth="1"/>
    <col min="13589" max="13589" width="0" style="2" hidden="1" customWidth="1"/>
    <col min="13590" max="13608" width="13.25" style="2" customWidth="1"/>
    <col min="13609" max="13842" width="9" style="2"/>
    <col min="13843" max="13843" width="9" style="2" customWidth="1"/>
    <col min="13844" max="13844" width="18.625" style="2" customWidth="1"/>
    <col min="13845" max="13845" width="0" style="2" hidden="1" customWidth="1"/>
    <col min="13846" max="13864" width="13.25" style="2" customWidth="1"/>
    <col min="13865" max="14098" width="9" style="2"/>
    <col min="14099" max="14099" width="9" style="2" customWidth="1"/>
    <col min="14100" max="14100" width="18.625" style="2" customWidth="1"/>
    <col min="14101" max="14101" width="0" style="2" hidden="1" customWidth="1"/>
    <col min="14102" max="14120" width="13.25" style="2" customWidth="1"/>
    <col min="14121" max="14354" width="9" style="2"/>
    <col min="14355" max="14355" width="9" style="2" customWidth="1"/>
    <col min="14356" max="14356" width="18.625" style="2" customWidth="1"/>
    <col min="14357" max="14357" width="0" style="2" hidden="1" customWidth="1"/>
    <col min="14358" max="14376" width="13.25" style="2" customWidth="1"/>
    <col min="14377" max="14610" width="9" style="2"/>
    <col min="14611" max="14611" width="9" style="2" customWidth="1"/>
    <col min="14612" max="14612" width="18.625" style="2" customWidth="1"/>
    <col min="14613" max="14613" width="0" style="2" hidden="1" customWidth="1"/>
    <col min="14614" max="14632" width="13.25" style="2" customWidth="1"/>
    <col min="14633" max="14866" width="9" style="2"/>
    <col min="14867" max="14867" width="9" style="2" customWidth="1"/>
    <col min="14868" max="14868" width="18.625" style="2" customWidth="1"/>
    <col min="14869" max="14869" width="0" style="2" hidden="1" customWidth="1"/>
    <col min="14870" max="14888" width="13.25" style="2" customWidth="1"/>
    <col min="14889" max="15122" width="9" style="2"/>
    <col min="15123" max="15123" width="9" style="2" customWidth="1"/>
    <col min="15124" max="15124" width="18.625" style="2" customWidth="1"/>
    <col min="15125" max="15125" width="0" style="2" hidden="1" customWidth="1"/>
    <col min="15126" max="15144" width="13.25" style="2" customWidth="1"/>
    <col min="15145" max="15378" width="9" style="2"/>
    <col min="15379" max="15379" width="9" style="2" customWidth="1"/>
    <col min="15380" max="15380" width="18.625" style="2" customWidth="1"/>
    <col min="15381" max="15381" width="0" style="2" hidden="1" customWidth="1"/>
    <col min="15382" max="15400" width="13.25" style="2" customWidth="1"/>
    <col min="15401" max="15634" width="9" style="2"/>
    <col min="15635" max="15635" width="9" style="2" customWidth="1"/>
    <col min="15636" max="15636" width="18.625" style="2" customWidth="1"/>
    <col min="15637" max="15637" width="0" style="2" hidden="1" customWidth="1"/>
    <col min="15638" max="15656" width="13.25" style="2" customWidth="1"/>
    <col min="15657" max="15890" width="9" style="2"/>
    <col min="15891" max="15891" width="9" style="2" customWidth="1"/>
    <col min="15892" max="15892" width="18.625" style="2" customWidth="1"/>
    <col min="15893" max="15893" width="0" style="2" hidden="1" customWidth="1"/>
    <col min="15894" max="15912" width="13.25" style="2" customWidth="1"/>
    <col min="15913" max="16146" width="9" style="2"/>
    <col min="16147" max="16147" width="9" style="2" customWidth="1"/>
    <col min="16148" max="16148" width="18.625" style="2" customWidth="1"/>
    <col min="16149" max="16149" width="0" style="2" hidden="1" customWidth="1"/>
    <col min="16150" max="16168" width="13.25" style="2" customWidth="1"/>
    <col min="16169" max="16384" width="9" style="2"/>
  </cols>
  <sheetData>
    <row r="1" spans="1:40" ht="21" x14ac:dyDescent="0.2">
      <c r="A1" s="1"/>
      <c r="B1" s="1"/>
      <c r="C1" s="235"/>
      <c r="D1" s="235"/>
      <c r="E1" s="235"/>
      <c r="F1" s="235"/>
      <c r="G1" s="235"/>
      <c r="H1" s="235"/>
      <c r="I1" s="235"/>
      <c r="J1" s="95"/>
      <c r="K1" s="235"/>
      <c r="L1" s="235"/>
      <c r="M1" s="235"/>
      <c r="N1" s="235"/>
      <c r="O1" s="235"/>
      <c r="P1" s="235"/>
      <c r="Q1" s="235"/>
      <c r="R1" s="235"/>
      <c r="S1" s="235"/>
      <c r="T1" s="95"/>
      <c r="U1" s="235"/>
      <c r="V1" s="235"/>
      <c r="W1" s="235"/>
      <c r="X1" s="235"/>
      <c r="Y1" s="235"/>
      <c r="Z1" s="235"/>
      <c r="AA1" s="235"/>
      <c r="AB1" s="9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</row>
    <row r="2" spans="1:40" ht="22.5" customHeight="1" thickBot="1" x14ac:dyDescent="0.2">
      <c r="A2" s="242" t="s">
        <v>215</v>
      </c>
      <c r="B2" s="242"/>
    </row>
    <row r="3" spans="1:40" ht="21" customHeight="1" thickTop="1" thickBot="1" x14ac:dyDescent="0.2">
      <c r="A3" s="220" t="s">
        <v>0</v>
      </c>
      <c r="B3" s="221"/>
      <c r="C3" s="222" t="s">
        <v>1</v>
      </c>
      <c r="D3" s="223"/>
      <c r="E3" s="222" t="s">
        <v>2</v>
      </c>
      <c r="F3" s="223"/>
      <c r="G3" s="222" t="s">
        <v>3</v>
      </c>
      <c r="H3" s="234"/>
      <c r="I3" s="224" t="s">
        <v>4</v>
      </c>
      <c r="J3" s="225"/>
      <c r="K3" s="222" t="s">
        <v>5</v>
      </c>
      <c r="L3" s="223"/>
      <c r="M3" s="222" t="s">
        <v>6</v>
      </c>
      <c r="N3" s="223"/>
      <c r="O3" s="222" t="s">
        <v>7</v>
      </c>
      <c r="P3" s="234"/>
      <c r="Q3" s="216" t="s">
        <v>8</v>
      </c>
      <c r="R3" s="217"/>
      <c r="S3" s="226" t="s">
        <v>9</v>
      </c>
      <c r="T3" s="227"/>
      <c r="U3" s="222" t="s">
        <v>10</v>
      </c>
      <c r="V3" s="223"/>
      <c r="W3" s="222" t="s">
        <v>11</v>
      </c>
      <c r="X3" s="223"/>
      <c r="Y3" s="222" t="s">
        <v>12</v>
      </c>
      <c r="Z3" s="234"/>
      <c r="AA3" s="216" t="s">
        <v>13</v>
      </c>
      <c r="AB3" s="217"/>
      <c r="AC3" s="222" t="s">
        <v>14</v>
      </c>
      <c r="AD3" s="223"/>
      <c r="AE3" s="222" t="s">
        <v>15</v>
      </c>
      <c r="AF3" s="223"/>
      <c r="AG3" s="222" t="s">
        <v>16</v>
      </c>
      <c r="AH3" s="234"/>
      <c r="AI3" s="216" t="s">
        <v>17</v>
      </c>
      <c r="AJ3" s="217"/>
      <c r="AK3" s="226" t="s">
        <v>18</v>
      </c>
      <c r="AL3" s="227"/>
      <c r="AM3" s="241" t="s">
        <v>19</v>
      </c>
      <c r="AN3" s="229"/>
    </row>
    <row r="4" spans="1:40" ht="21" customHeight="1" thickTop="1" thickBot="1" x14ac:dyDescent="0.2">
      <c r="A4" s="230" t="s">
        <v>0</v>
      </c>
      <c r="B4" s="231"/>
      <c r="C4" s="30" t="s">
        <v>20</v>
      </c>
      <c r="D4" s="94" t="s">
        <v>83</v>
      </c>
      <c r="E4" s="30" t="s">
        <v>20</v>
      </c>
      <c r="F4" s="94" t="s">
        <v>83</v>
      </c>
      <c r="G4" s="30" t="s">
        <v>20</v>
      </c>
      <c r="H4" s="45" t="s">
        <v>83</v>
      </c>
      <c r="I4" s="30" t="s">
        <v>20</v>
      </c>
      <c r="J4" s="183" t="s">
        <v>83</v>
      </c>
      <c r="K4" s="30" t="s">
        <v>20</v>
      </c>
      <c r="L4" s="94" t="s">
        <v>83</v>
      </c>
      <c r="M4" s="30" t="s">
        <v>20</v>
      </c>
      <c r="N4" s="94" t="s">
        <v>83</v>
      </c>
      <c r="O4" s="30" t="s">
        <v>20</v>
      </c>
      <c r="P4" s="45" t="s">
        <v>83</v>
      </c>
      <c r="Q4" s="30" t="s">
        <v>20</v>
      </c>
      <c r="R4" s="94" t="s">
        <v>83</v>
      </c>
      <c r="S4" s="200" t="s">
        <v>20</v>
      </c>
      <c r="T4" s="183" t="s">
        <v>83</v>
      </c>
      <c r="U4" s="30" t="s">
        <v>20</v>
      </c>
      <c r="V4" s="94" t="s">
        <v>83</v>
      </c>
      <c r="W4" s="30" t="s">
        <v>20</v>
      </c>
      <c r="X4" s="94" t="s">
        <v>83</v>
      </c>
      <c r="Y4" s="30" t="s">
        <v>20</v>
      </c>
      <c r="Z4" s="45" t="s">
        <v>83</v>
      </c>
      <c r="AA4" s="200" t="s">
        <v>20</v>
      </c>
      <c r="AB4" s="183" t="s">
        <v>83</v>
      </c>
      <c r="AC4" s="30" t="s">
        <v>20</v>
      </c>
      <c r="AD4" s="94" t="s">
        <v>83</v>
      </c>
      <c r="AE4" s="30" t="s">
        <v>20</v>
      </c>
      <c r="AF4" s="94" t="s">
        <v>83</v>
      </c>
      <c r="AG4" s="30" t="s">
        <v>20</v>
      </c>
      <c r="AH4" s="45" t="s">
        <v>83</v>
      </c>
      <c r="AI4" s="200" t="s">
        <v>20</v>
      </c>
      <c r="AJ4" s="183" t="s">
        <v>83</v>
      </c>
      <c r="AK4" s="30" t="s">
        <v>20</v>
      </c>
      <c r="AL4" s="94" t="s">
        <v>83</v>
      </c>
      <c r="AM4" s="30" t="s">
        <v>20</v>
      </c>
      <c r="AN4" s="94" t="s">
        <v>83</v>
      </c>
    </row>
    <row r="5" spans="1:40" ht="20.25" customHeight="1" thickBot="1" x14ac:dyDescent="0.2">
      <c r="A5" s="232" t="s">
        <v>21</v>
      </c>
      <c r="B5" s="233"/>
      <c r="C5" s="31"/>
      <c r="D5" s="115">
        <f>大3!C130</f>
        <v>0</v>
      </c>
      <c r="E5" s="31"/>
      <c r="F5" s="115">
        <f>大3!D130</f>
        <v>0</v>
      </c>
      <c r="G5" s="31"/>
      <c r="H5" s="53">
        <f>大3!E130</f>
        <v>0</v>
      </c>
      <c r="I5" s="41">
        <f>C5+E5+G5</f>
        <v>0</v>
      </c>
      <c r="J5" s="115">
        <f>D5+F5+H5</f>
        <v>0</v>
      </c>
      <c r="K5" s="31">
        <v>1329120</v>
      </c>
      <c r="L5" s="115">
        <f>大3!F130</f>
        <v>0</v>
      </c>
      <c r="M5" s="31">
        <v>2658240</v>
      </c>
      <c r="N5" s="115">
        <f>大3!G130</f>
        <v>0</v>
      </c>
      <c r="O5" s="31">
        <v>3987360</v>
      </c>
      <c r="P5" s="53">
        <f>大3!H130</f>
        <v>0</v>
      </c>
      <c r="Q5" s="41">
        <f>K5+M5+O5</f>
        <v>7974720</v>
      </c>
      <c r="R5" s="115">
        <f>L5+N5+P5</f>
        <v>0</v>
      </c>
      <c r="S5" s="149">
        <f>I5+Q5</f>
        <v>7974720</v>
      </c>
      <c r="T5" s="115">
        <f>J5+R5</f>
        <v>0</v>
      </c>
      <c r="U5" s="31">
        <v>5759520</v>
      </c>
      <c r="V5" s="115">
        <f>大3!I130</f>
        <v>0</v>
      </c>
      <c r="W5" s="31">
        <v>7531680</v>
      </c>
      <c r="X5" s="115">
        <f>大3!J130</f>
        <v>0</v>
      </c>
      <c r="Y5" s="31">
        <v>9303840</v>
      </c>
      <c r="Z5" s="53"/>
      <c r="AA5" s="41">
        <f>U5+W5+Y5</f>
        <v>22595040</v>
      </c>
      <c r="AB5" s="115">
        <f>V5+X5+Z5</f>
        <v>0</v>
      </c>
      <c r="AC5" s="31">
        <v>11962080</v>
      </c>
      <c r="AD5" s="115">
        <f>大3!L130</f>
        <v>0</v>
      </c>
      <c r="AE5" s="31">
        <v>14620320</v>
      </c>
      <c r="AF5" s="115">
        <f>大3!M130</f>
        <v>0</v>
      </c>
      <c r="AG5" s="31">
        <v>17278560</v>
      </c>
      <c r="AH5" s="53">
        <f>大3!N130</f>
        <v>0</v>
      </c>
      <c r="AI5" s="41">
        <f>AC5+AE5+AG5</f>
        <v>43860960</v>
      </c>
      <c r="AJ5" s="115">
        <f>AD5+AF5+AH5</f>
        <v>0</v>
      </c>
      <c r="AK5" s="149">
        <f>AA5+AI5</f>
        <v>66456000</v>
      </c>
      <c r="AL5" s="115">
        <f>AB5+AJ5</f>
        <v>0</v>
      </c>
      <c r="AM5" s="149">
        <f>SUM(C5,E5,G5,K5,M5,O5,U5,W5,Y5,AC5,AE5,AG5)</f>
        <v>74430720</v>
      </c>
      <c r="AN5" s="115">
        <f>SUM(D5,F5,H5,L5,N5,P5,V5,X5,Z5,AD5,AF5,AH5)</f>
        <v>0</v>
      </c>
    </row>
    <row r="6" spans="1:40" ht="20.25" customHeight="1" x14ac:dyDescent="0.15">
      <c r="A6" s="25" t="s">
        <v>76</v>
      </c>
      <c r="B6" s="29" t="s">
        <v>64</v>
      </c>
      <c r="C6" s="32"/>
      <c r="D6" s="9">
        <f>大3!C131</f>
        <v>0</v>
      </c>
      <c r="E6" s="32"/>
      <c r="F6" s="9">
        <f>大3!D131</f>
        <v>0</v>
      </c>
      <c r="G6" s="32"/>
      <c r="H6" s="49">
        <f>大3!E131</f>
        <v>0</v>
      </c>
      <c r="I6" s="37">
        <f t="shared" ref="I6:J19" si="0">C6+E6+G6</f>
        <v>0</v>
      </c>
      <c r="J6" s="9">
        <f t="shared" si="0"/>
        <v>0</v>
      </c>
      <c r="K6" s="32">
        <v>864000</v>
      </c>
      <c r="L6" s="9">
        <f>大3!F131</f>
        <v>0</v>
      </c>
      <c r="M6" s="32">
        <v>1728000</v>
      </c>
      <c r="N6" s="9">
        <f>大3!G131</f>
        <v>0</v>
      </c>
      <c r="O6" s="32">
        <v>2592000</v>
      </c>
      <c r="P6" s="49">
        <f>大3!H131</f>
        <v>0</v>
      </c>
      <c r="Q6" s="37">
        <f t="shared" ref="Q6:R19" si="1">K6+M6+O6</f>
        <v>5184000</v>
      </c>
      <c r="R6" s="9">
        <f t="shared" si="1"/>
        <v>0</v>
      </c>
      <c r="S6" s="37">
        <f t="shared" ref="S6:T19" si="2">I6+Q6</f>
        <v>5184000</v>
      </c>
      <c r="T6" s="9">
        <f t="shared" si="2"/>
        <v>0</v>
      </c>
      <c r="U6" s="32">
        <v>3744000</v>
      </c>
      <c r="V6" s="9">
        <f>大3!I131</f>
        <v>0</v>
      </c>
      <c r="W6" s="32">
        <v>4896000</v>
      </c>
      <c r="X6" s="9">
        <f>大3!J131</f>
        <v>0</v>
      </c>
      <c r="Y6" s="32">
        <v>6048000</v>
      </c>
      <c r="Z6" s="49">
        <f>大3!K131</f>
        <v>0</v>
      </c>
      <c r="AA6" s="37">
        <f t="shared" ref="AA6:AB19" si="3">U6+W6+Y6</f>
        <v>14688000</v>
      </c>
      <c r="AB6" s="9">
        <f t="shared" si="3"/>
        <v>0</v>
      </c>
      <c r="AC6" s="32">
        <v>7776000</v>
      </c>
      <c r="AD6" s="9">
        <f>大3!L131</f>
        <v>0</v>
      </c>
      <c r="AE6" s="32">
        <v>9504000</v>
      </c>
      <c r="AF6" s="9">
        <f>大3!M131</f>
        <v>0</v>
      </c>
      <c r="AG6" s="32">
        <v>11232000</v>
      </c>
      <c r="AH6" s="49">
        <f>大3!N131</f>
        <v>0</v>
      </c>
      <c r="AI6" s="37">
        <f t="shared" ref="AI6:AJ19" si="4">AC6+AE6+AG6</f>
        <v>28512000</v>
      </c>
      <c r="AJ6" s="9">
        <f t="shared" si="4"/>
        <v>0</v>
      </c>
      <c r="AK6" s="37">
        <f t="shared" ref="AK6:AL19" si="5">AA6+AI6</f>
        <v>43200000</v>
      </c>
      <c r="AL6" s="9">
        <f t="shared" si="5"/>
        <v>0</v>
      </c>
      <c r="AM6" s="37">
        <f t="shared" ref="AM6:AM19" si="6">SUM(C6,E6,G6,K6,M6,O6,U6,W6,Y6,AC6,AE6,AG6)</f>
        <v>48384000</v>
      </c>
      <c r="AN6" s="9">
        <f t="shared" ref="AN6:AN19" si="7">SUM(D6,F6,H6,L6,N6,P6,V6,X6,Z6,AD6,AF6,AH6)</f>
        <v>0</v>
      </c>
    </row>
    <row r="7" spans="1:40" ht="20.25" customHeight="1" x14ac:dyDescent="0.15">
      <c r="A7" s="21" t="s">
        <v>77</v>
      </c>
      <c r="B7" s="5" t="s">
        <v>65</v>
      </c>
      <c r="C7" s="33"/>
      <c r="D7" s="116">
        <f>大3!C132</f>
        <v>0</v>
      </c>
      <c r="E7" s="33"/>
      <c r="F7" s="116">
        <f>大3!D132</f>
        <v>0</v>
      </c>
      <c r="G7" s="33"/>
      <c r="H7" s="120">
        <f>大3!E132</f>
        <v>0</v>
      </c>
      <c r="I7" s="150">
        <f t="shared" si="0"/>
        <v>0</v>
      </c>
      <c r="J7" s="116">
        <f t="shared" si="0"/>
        <v>0</v>
      </c>
      <c r="K7" s="33"/>
      <c r="L7" s="116">
        <f>大3!F132</f>
        <v>0</v>
      </c>
      <c r="M7" s="33"/>
      <c r="N7" s="116">
        <f>大3!G132</f>
        <v>0</v>
      </c>
      <c r="O7" s="33"/>
      <c r="P7" s="120">
        <f>大3!H132</f>
        <v>0</v>
      </c>
      <c r="Q7" s="150">
        <f t="shared" si="1"/>
        <v>0</v>
      </c>
      <c r="R7" s="116">
        <f t="shared" si="1"/>
        <v>0</v>
      </c>
      <c r="S7" s="150">
        <f t="shared" si="2"/>
        <v>0</v>
      </c>
      <c r="T7" s="116">
        <f t="shared" si="2"/>
        <v>0</v>
      </c>
      <c r="U7" s="33"/>
      <c r="V7" s="116">
        <f>大3!I132</f>
        <v>0</v>
      </c>
      <c r="W7" s="33"/>
      <c r="X7" s="116">
        <f>大3!J132</f>
        <v>0</v>
      </c>
      <c r="Y7" s="33"/>
      <c r="Z7" s="120">
        <f>大3!K132</f>
        <v>0</v>
      </c>
      <c r="AA7" s="150">
        <f t="shared" si="3"/>
        <v>0</v>
      </c>
      <c r="AB7" s="116">
        <f t="shared" si="3"/>
        <v>0</v>
      </c>
      <c r="AC7" s="33"/>
      <c r="AD7" s="116">
        <f>大3!L132</f>
        <v>0</v>
      </c>
      <c r="AE7" s="33"/>
      <c r="AF7" s="116">
        <f>大3!M132</f>
        <v>0</v>
      </c>
      <c r="AG7" s="33"/>
      <c r="AH7" s="120">
        <f>大3!N132</f>
        <v>0</v>
      </c>
      <c r="AI7" s="150">
        <f t="shared" si="4"/>
        <v>0</v>
      </c>
      <c r="AJ7" s="116">
        <f t="shared" si="4"/>
        <v>0</v>
      </c>
      <c r="AK7" s="150">
        <f t="shared" si="5"/>
        <v>0</v>
      </c>
      <c r="AL7" s="116">
        <f t="shared" si="5"/>
        <v>0</v>
      </c>
      <c r="AM7" s="150">
        <f t="shared" si="6"/>
        <v>0</v>
      </c>
      <c r="AN7" s="116">
        <f t="shared" si="7"/>
        <v>0</v>
      </c>
    </row>
    <row r="8" spans="1:40" ht="20.25" customHeight="1" x14ac:dyDescent="0.15">
      <c r="A8" s="23"/>
      <c r="B8" s="5" t="s">
        <v>66</v>
      </c>
      <c r="C8" s="33"/>
      <c r="D8" s="116">
        <f>大3!C134</f>
        <v>0</v>
      </c>
      <c r="E8" s="33"/>
      <c r="F8" s="116">
        <f>大3!D134</f>
        <v>0</v>
      </c>
      <c r="G8" s="33"/>
      <c r="H8" s="120">
        <f>大3!E134</f>
        <v>0</v>
      </c>
      <c r="I8" s="150">
        <f t="shared" si="0"/>
        <v>0</v>
      </c>
      <c r="J8" s="116">
        <f t="shared" si="0"/>
        <v>0</v>
      </c>
      <c r="K8" s="33"/>
      <c r="L8" s="116">
        <f>大3!F134</f>
        <v>0</v>
      </c>
      <c r="M8" s="33"/>
      <c r="N8" s="116">
        <f>大3!G134</f>
        <v>0</v>
      </c>
      <c r="O8" s="33"/>
      <c r="P8" s="120">
        <f>大3!H134</f>
        <v>0</v>
      </c>
      <c r="Q8" s="150">
        <f t="shared" si="1"/>
        <v>0</v>
      </c>
      <c r="R8" s="116">
        <f t="shared" si="1"/>
        <v>0</v>
      </c>
      <c r="S8" s="150">
        <f t="shared" si="2"/>
        <v>0</v>
      </c>
      <c r="T8" s="116">
        <f t="shared" si="2"/>
        <v>0</v>
      </c>
      <c r="U8" s="33"/>
      <c r="V8" s="116">
        <f>大3!I134</f>
        <v>0</v>
      </c>
      <c r="W8" s="33"/>
      <c r="X8" s="116">
        <f>大3!J134</f>
        <v>0</v>
      </c>
      <c r="Y8" s="33"/>
      <c r="Z8" s="120">
        <f>大3!K134</f>
        <v>0</v>
      </c>
      <c r="AA8" s="150">
        <f t="shared" si="3"/>
        <v>0</v>
      </c>
      <c r="AB8" s="116">
        <f t="shared" si="3"/>
        <v>0</v>
      </c>
      <c r="AC8" s="33"/>
      <c r="AD8" s="116">
        <f>大3!L134</f>
        <v>0</v>
      </c>
      <c r="AE8" s="33"/>
      <c r="AF8" s="116">
        <f>大3!M134</f>
        <v>0</v>
      </c>
      <c r="AG8" s="33"/>
      <c r="AH8" s="120">
        <f>大3!N134</f>
        <v>0</v>
      </c>
      <c r="AI8" s="150">
        <f t="shared" si="4"/>
        <v>0</v>
      </c>
      <c r="AJ8" s="116">
        <f t="shared" si="4"/>
        <v>0</v>
      </c>
      <c r="AK8" s="150">
        <f t="shared" si="5"/>
        <v>0</v>
      </c>
      <c r="AL8" s="116">
        <f t="shared" si="5"/>
        <v>0</v>
      </c>
      <c r="AM8" s="150">
        <f>SUM(C8,E8,G8,K8,M8,O8,U8,W8,Y8,AC8,AE8,AG8)</f>
        <v>0</v>
      </c>
      <c r="AN8" s="116">
        <f t="shared" si="7"/>
        <v>0</v>
      </c>
    </row>
    <row r="9" spans="1:40" ht="20.25" customHeight="1" x14ac:dyDescent="0.15">
      <c r="A9" s="23"/>
      <c r="B9" s="5" t="s">
        <v>22</v>
      </c>
      <c r="C9" s="34"/>
      <c r="D9" s="116">
        <f>大3!C135</f>
        <v>0</v>
      </c>
      <c r="E9" s="34"/>
      <c r="F9" s="116">
        <f>大3!D135</f>
        <v>0</v>
      </c>
      <c r="G9" s="34"/>
      <c r="H9" s="120">
        <f>大3!E135</f>
        <v>0</v>
      </c>
      <c r="I9" s="151">
        <f t="shared" si="0"/>
        <v>0</v>
      </c>
      <c r="J9" s="117">
        <f t="shared" si="0"/>
        <v>0</v>
      </c>
      <c r="K9" s="34">
        <v>42336</v>
      </c>
      <c r="L9" s="116">
        <f>大3!F135</f>
        <v>0</v>
      </c>
      <c r="M9" s="34">
        <v>84672</v>
      </c>
      <c r="N9" s="116">
        <f>大3!G135</f>
        <v>0</v>
      </c>
      <c r="O9" s="34">
        <v>127008</v>
      </c>
      <c r="P9" s="120">
        <f>大3!H135</f>
        <v>0</v>
      </c>
      <c r="Q9" s="151">
        <f t="shared" si="1"/>
        <v>254016</v>
      </c>
      <c r="R9" s="117">
        <f t="shared" si="1"/>
        <v>0</v>
      </c>
      <c r="S9" s="151">
        <f t="shared" si="2"/>
        <v>254016</v>
      </c>
      <c r="T9" s="117">
        <f t="shared" si="2"/>
        <v>0</v>
      </c>
      <c r="U9" s="34">
        <v>183456</v>
      </c>
      <c r="V9" s="116">
        <f>大3!I135</f>
        <v>0</v>
      </c>
      <c r="W9" s="34">
        <v>239904</v>
      </c>
      <c r="X9" s="116">
        <f>大3!J135</f>
        <v>0</v>
      </c>
      <c r="Y9" s="34">
        <v>296352</v>
      </c>
      <c r="Z9" s="120">
        <f>大3!K135</f>
        <v>0</v>
      </c>
      <c r="AA9" s="151">
        <f t="shared" si="3"/>
        <v>719712</v>
      </c>
      <c r="AB9" s="117">
        <f t="shared" si="3"/>
        <v>0</v>
      </c>
      <c r="AC9" s="34">
        <v>381024</v>
      </c>
      <c r="AD9" s="116">
        <f>大3!L135</f>
        <v>0</v>
      </c>
      <c r="AE9" s="60">
        <v>465696</v>
      </c>
      <c r="AF9" s="116">
        <f>大3!M135</f>
        <v>0</v>
      </c>
      <c r="AG9" s="60">
        <v>550368</v>
      </c>
      <c r="AH9" s="120">
        <f>大3!N135</f>
        <v>0</v>
      </c>
      <c r="AI9" s="151">
        <f t="shared" si="4"/>
        <v>1397088</v>
      </c>
      <c r="AJ9" s="117">
        <f t="shared" si="4"/>
        <v>0</v>
      </c>
      <c r="AK9" s="151">
        <f t="shared" si="5"/>
        <v>2116800</v>
      </c>
      <c r="AL9" s="117">
        <f t="shared" si="5"/>
        <v>0</v>
      </c>
      <c r="AM9" s="151">
        <f t="shared" si="6"/>
        <v>2370816</v>
      </c>
      <c r="AN9" s="117">
        <f t="shared" si="7"/>
        <v>0</v>
      </c>
    </row>
    <row r="10" spans="1:40" ht="20.25" customHeight="1" x14ac:dyDescent="0.15">
      <c r="A10" s="23"/>
      <c r="B10" s="5" t="s">
        <v>67</v>
      </c>
      <c r="C10" s="34"/>
      <c r="D10" s="116">
        <f>大3!C136</f>
        <v>0</v>
      </c>
      <c r="E10" s="34"/>
      <c r="F10" s="116">
        <f>大3!D136</f>
        <v>0</v>
      </c>
      <c r="G10" s="34"/>
      <c r="H10" s="120">
        <f>大3!E136</f>
        <v>0</v>
      </c>
      <c r="I10" s="151">
        <f t="shared" si="0"/>
        <v>0</v>
      </c>
      <c r="J10" s="117">
        <f t="shared" si="0"/>
        <v>0</v>
      </c>
      <c r="K10" s="34">
        <v>5184</v>
      </c>
      <c r="L10" s="116">
        <f>大3!F136</f>
        <v>0</v>
      </c>
      <c r="M10" s="34">
        <v>10368</v>
      </c>
      <c r="N10" s="116">
        <f>大3!G136</f>
        <v>0</v>
      </c>
      <c r="O10" s="34">
        <v>15552</v>
      </c>
      <c r="P10" s="120">
        <f>大3!H136</f>
        <v>0</v>
      </c>
      <c r="Q10" s="151">
        <f t="shared" si="1"/>
        <v>31104</v>
      </c>
      <c r="R10" s="117">
        <f t="shared" si="1"/>
        <v>0</v>
      </c>
      <c r="S10" s="151">
        <f t="shared" si="2"/>
        <v>31104</v>
      </c>
      <c r="T10" s="117">
        <f t="shared" si="2"/>
        <v>0</v>
      </c>
      <c r="U10" s="34">
        <v>22464</v>
      </c>
      <c r="V10" s="116">
        <f>大3!I136</f>
        <v>0</v>
      </c>
      <c r="W10" s="34">
        <v>29376</v>
      </c>
      <c r="X10" s="116">
        <f>大3!J136</f>
        <v>0</v>
      </c>
      <c r="Y10" s="34">
        <v>36288</v>
      </c>
      <c r="Z10" s="120">
        <f>大3!K136</f>
        <v>0</v>
      </c>
      <c r="AA10" s="151">
        <f t="shared" si="3"/>
        <v>88128</v>
      </c>
      <c r="AB10" s="117">
        <f t="shared" si="3"/>
        <v>0</v>
      </c>
      <c r="AC10" s="34">
        <v>46656</v>
      </c>
      <c r="AD10" s="116">
        <f>大3!L136</f>
        <v>0</v>
      </c>
      <c r="AE10" s="60">
        <v>57024</v>
      </c>
      <c r="AF10" s="116">
        <f>大3!M136</f>
        <v>0</v>
      </c>
      <c r="AG10" s="60">
        <v>67392</v>
      </c>
      <c r="AH10" s="120">
        <f>大3!N136</f>
        <v>0</v>
      </c>
      <c r="AI10" s="151">
        <f t="shared" si="4"/>
        <v>171072</v>
      </c>
      <c r="AJ10" s="117">
        <f t="shared" si="4"/>
        <v>0</v>
      </c>
      <c r="AK10" s="151">
        <f t="shared" si="5"/>
        <v>259200</v>
      </c>
      <c r="AL10" s="117">
        <f t="shared" si="5"/>
        <v>0</v>
      </c>
      <c r="AM10" s="151">
        <f t="shared" si="6"/>
        <v>290304</v>
      </c>
      <c r="AN10" s="117">
        <f t="shared" si="7"/>
        <v>0</v>
      </c>
    </row>
    <row r="11" spans="1:40" ht="20.25" customHeight="1" x14ac:dyDescent="0.15">
      <c r="A11" s="23"/>
      <c r="B11" s="5" t="s">
        <v>23</v>
      </c>
      <c r="C11" s="34"/>
      <c r="D11" s="116">
        <f>大3!C137</f>
        <v>0</v>
      </c>
      <c r="E11" s="34"/>
      <c r="F11" s="116">
        <f>大3!D137</f>
        <v>0</v>
      </c>
      <c r="G11" s="34"/>
      <c r="H11" s="120">
        <f>大3!E137</f>
        <v>0</v>
      </c>
      <c r="I11" s="151">
        <f t="shared" si="0"/>
        <v>0</v>
      </c>
      <c r="J11" s="117">
        <f t="shared" si="0"/>
        <v>0</v>
      </c>
      <c r="K11" s="34">
        <v>79488</v>
      </c>
      <c r="L11" s="116">
        <f>大3!F137</f>
        <v>0</v>
      </c>
      <c r="M11" s="34">
        <v>158976</v>
      </c>
      <c r="N11" s="116">
        <f>大3!G137</f>
        <v>0</v>
      </c>
      <c r="O11" s="34">
        <v>238464</v>
      </c>
      <c r="P11" s="120">
        <f>大3!H137</f>
        <v>0</v>
      </c>
      <c r="Q11" s="151">
        <f t="shared" si="1"/>
        <v>476928</v>
      </c>
      <c r="R11" s="117">
        <f t="shared" si="1"/>
        <v>0</v>
      </c>
      <c r="S11" s="151">
        <f t="shared" si="2"/>
        <v>476928</v>
      </c>
      <c r="T11" s="117">
        <f t="shared" si="2"/>
        <v>0</v>
      </c>
      <c r="U11" s="34">
        <v>344448</v>
      </c>
      <c r="V11" s="116">
        <f>大3!I137</f>
        <v>0</v>
      </c>
      <c r="W11" s="34">
        <v>450432</v>
      </c>
      <c r="X11" s="116">
        <f>大3!J137</f>
        <v>0</v>
      </c>
      <c r="Y11" s="34">
        <v>556416</v>
      </c>
      <c r="Z11" s="120">
        <f>大3!K137</f>
        <v>0</v>
      </c>
      <c r="AA11" s="151">
        <f t="shared" si="3"/>
        <v>1351296</v>
      </c>
      <c r="AB11" s="117">
        <f t="shared" si="3"/>
        <v>0</v>
      </c>
      <c r="AC11" s="34">
        <v>715392</v>
      </c>
      <c r="AD11" s="116">
        <f>大3!L137</f>
        <v>0</v>
      </c>
      <c r="AE11" s="60">
        <v>874368</v>
      </c>
      <c r="AF11" s="116">
        <f>大3!M137</f>
        <v>0</v>
      </c>
      <c r="AG11" s="60">
        <v>1033344</v>
      </c>
      <c r="AH11" s="120">
        <f>大3!N137</f>
        <v>0</v>
      </c>
      <c r="AI11" s="151">
        <f t="shared" si="4"/>
        <v>2623104</v>
      </c>
      <c r="AJ11" s="117">
        <f t="shared" si="4"/>
        <v>0</v>
      </c>
      <c r="AK11" s="151">
        <f t="shared" si="5"/>
        <v>3974400</v>
      </c>
      <c r="AL11" s="117">
        <f t="shared" si="5"/>
        <v>0</v>
      </c>
      <c r="AM11" s="151">
        <f t="shared" si="6"/>
        <v>4451328</v>
      </c>
      <c r="AN11" s="117">
        <f t="shared" si="7"/>
        <v>0</v>
      </c>
    </row>
    <row r="12" spans="1:40" ht="20.25" customHeight="1" x14ac:dyDescent="0.15">
      <c r="A12" s="23"/>
      <c r="B12" s="5" t="s">
        <v>24</v>
      </c>
      <c r="C12" s="34"/>
      <c r="D12" s="116">
        <f>大3!C138</f>
        <v>0</v>
      </c>
      <c r="E12" s="34"/>
      <c r="F12" s="116">
        <f>大3!D138</f>
        <v>0</v>
      </c>
      <c r="G12" s="34"/>
      <c r="H12" s="120">
        <f>大3!E138</f>
        <v>0</v>
      </c>
      <c r="I12" s="151">
        <f t="shared" si="0"/>
        <v>0</v>
      </c>
      <c r="J12" s="117">
        <f t="shared" si="0"/>
        <v>0</v>
      </c>
      <c r="K12" s="34">
        <v>5210</v>
      </c>
      <c r="L12" s="116">
        <f>大3!F138</f>
        <v>0</v>
      </c>
      <c r="M12" s="34">
        <v>10420</v>
      </c>
      <c r="N12" s="116">
        <f>大3!G138</f>
        <v>0</v>
      </c>
      <c r="O12" s="34">
        <v>15630</v>
      </c>
      <c r="P12" s="120">
        <f>大3!H138</f>
        <v>0</v>
      </c>
      <c r="Q12" s="151">
        <f t="shared" si="1"/>
        <v>31260</v>
      </c>
      <c r="R12" s="117">
        <f t="shared" si="1"/>
        <v>0</v>
      </c>
      <c r="S12" s="151">
        <f t="shared" si="2"/>
        <v>31260</v>
      </c>
      <c r="T12" s="117">
        <f t="shared" si="2"/>
        <v>0</v>
      </c>
      <c r="U12" s="34">
        <v>22576</v>
      </c>
      <c r="V12" s="116">
        <f>大3!I138</f>
        <v>0</v>
      </c>
      <c r="W12" s="34">
        <v>29523</v>
      </c>
      <c r="X12" s="116">
        <f>大3!J138</f>
        <v>0</v>
      </c>
      <c r="Y12" s="34">
        <v>36469</v>
      </c>
      <c r="Z12" s="120">
        <f>大3!K138</f>
        <v>0</v>
      </c>
      <c r="AA12" s="151">
        <f t="shared" si="3"/>
        <v>88568</v>
      </c>
      <c r="AB12" s="117">
        <f t="shared" si="3"/>
        <v>0</v>
      </c>
      <c r="AC12" s="34">
        <v>46889</v>
      </c>
      <c r="AD12" s="116">
        <f>大3!L138</f>
        <v>0</v>
      </c>
      <c r="AE12" s="60">
        <v>57309</v>
      </c>
      <c r="AF12" s="116">
        <f>大3!M138</f>
        <v>0</v>
      </c>
      <c r="AG12" s="60">
        <v>67729</v>
      </c>
      <c r="AH12" s="120">
        <f>大3!N138</f>
        <v>0</v>
      </c>
      <c r="AI12" s="151">
        <f t="shared" si="4"/>
        <v>171927</v>
      </c>
      <c r="AJ12" s="117">
        <f t="shared" si="4"/>
        <v>0</v>
      </c>
      <c r="AK12" s="151">
        <f t="shared" si="5"/>
        <v>260495</v>
      </c>
      <c r="AL12" s="117">
        <f t="shared" si="5"/>
        <v>0</v>
      </c>
      <c r="AM12" s="151">
        <f t="shared" si="6"/>
        <v>291755</v>
      </c>
      <c r="AN12" s="117">
        <f t="shared" si="7"/>
        <v>0</v>
      </c>
    </row>
    <row r="13" spans="1:40" ht="20.25" customHeight="1" x14ac:dyDescent="0.15">
      <c r="A13" s="23"/>
      <c r="B13" s="5" t="s">
        <v>25</v>
      </c>
      <c r="C13" s="34"/>
      <c r="D13" s="117">
        <f>ROUND(大3!C139*3/1000,0)</f>
        <v>0</v>
      </c>
      <c r="E13" s="34"/>
      <c r="F13" s="117">
        <f>ROUND(大3!D139*3/1000,0)</f>
        <v>0</v>
      </c>
      <c r="G13" s="34"/>
      <c r="H13" s="121">
        <f>ROUND(大3!E139*3/1000,0)</f>
        <v>0</v>
      </c>
      <c r="I13" s="151">
        <f t="shared" si="0"/>
        <v>0</v>
      </c>
      <c r="J13" s="117">
        <f t="shared" si="0"/>
        <v>0</v>
      </c>
      <c r="K13" s="34">
        <v>2592</v>
      </c>
      <c r="L13" s="117">
        <f>ROUND(大3!F139*3/1000,0)</f>
        <v>0</v>
      </c>
      <c r="M13" s="34">
        <v>5184</v>
      </c>
      <c r="N13" s="117">
        <f>ROUND(大3!G139*3/1000,0)</f>
        <v>0</v>
      </c>
      <c r="O13" s="34">
        <v>7776</v>
      </c>
      <c r="P13" s="121">
        <f>ROUND(大3!H139*3/1000,0)</f>
        <v>0</v>
      </c>
      <c r="Q13" s="151">
        <f t="shared" si="1"/>
        <v>15552</v>
      </c>
      <c r="R13" s="117">
        <f t="shared" si="1"/>
        <v>0</v>
      </c>
      <c r="S13" s="151">
        <f t="shared" si="2"/>
        <v>15552</v>
      </c>
      <c r="T13" s="117">
        <f t="shared" si="2"/>
        <v>0</v>
      </c>
      <c r="U13" s="34">
        <v>11232</v>
      </c>
      <c r="V13" s="117">
        <f>ROUND(大3!I139*3/1000,0)</f>
        <v>0</v>
      </c>
      <c r="W13" s="34">
        <v>14688</v>
      </c>
      <c r="X13" s="117">
        <f>ROUND(大3!J139*3/1000,0)</f>
        <v>0</v>
      </c>
      <c r="Y13" s="34">
        <v>18144</v>
      </c>
      <c r="Z13" s="121">
        <f>ROUND(大3!K139*3/1000,0)</f>
        <v>0</v>
      </c>
      <c r="AA13" s="151">
        <f t="shared" si="3"/>
        <v>44064</v>
      </c>
      <c r="AB13" s="117">
        <f t="shared" si="3"/>
        <v>0</v>
      </c>
      <c r="AC13" s="34">
        <v>23328</v>
      </c>
      <c r="AD13" s="117">
        <f>ROUND(大3!L139*3/1000,0)</f>
        <v>0</v>
      </c>
      <c r="AE13" s="34">
        <v>28512</v>
      </c>
      <c r="AF13" s="117">
        <f>ROUND(大3!M139*3/1000,0)</f>
        <v>0</v>
      </c>
      <c r="AG13" s="34">
        <v>33696</v>
      </c>
      <c r="AH13" s="121">
        <f>ROUND(大3!N139*3/1000,0)</f>
        <v>0</v>
      </c>
      <c r="AI13" s="151">
        <f t="shared" si="4"/>
        <v>85536</v>
      </c>
      <c r="AJ13" s="117">
        <f t="shared" si="4"/>
        <v>0</v>
      </c>
      <c r="AK13" s="151">
        <f t="shared" si="5"/>
        <v>129600</v>
      </c>
      <c r="AL13" s="117">
        <f t="shared" si="5"/>
        <v>0</v>
      </c>
      <c r="AM13" s="151">
        <f t="shared" si="6"/>
        <v>145152</v>
      </c>
      <c r="AN13" s="117">
        <f t="shared" si="7"/>
        <v>0</v>
      </c>
    </row>
    <row r="14" spans="1:40" ht="20.25" customHeight="1" x14ac:dyDescent="0.15">
      <c r="A14" s="26"/>
      <c r="B14" s="27" t="s">
        <v>26</v>
      </c>
      <c r="C14" s="35"/>
      <c r="D14" s="118">
        <f>大3!C133</f>
        <v>0</v>
      </c>
      <c r="E14" s="35"/>
      <c r="F14" s="118">
        <f>大3!D133</f>
        <v>0</v>
      </c>
      <c r="G14" s="35"/>
      <c r="H14" s="122">
        <f>大3!E133</f>
        <v>0</v>
      </c>
      <c r="I14" s="152">
        <f t="shared" si="0"/>
        <v>0</v>
      </c>
      <c r="J14" s="118">
        <f t="shared" si="0"/>
        <v>0</v>
      </c>
      <c r="K14" s="35">
        <v>45000</v>
      </c>
      <c r="L14" s="118">
        <f>大3!F133</f>
        <v>0</v>
      </c>
      <c r="M14" s="35">
        <v>90000</v>
      </c>
      <c r="N14" s="118">
        <f>大3!G133</f>
        <v>0</v>
      </c>
      <c r="O14" s="35">
        <v>135000</v>
      </c>
      <c r="P14" s="122">
        <f>大3!H133</f>
        <v>0</v>
      </c>
      <c r="Q14" s="152">
        <f t="shared" si="1"/>
        <v>270000</v>
      </c>
      <c r="R14" s="118">
        <f t="shared" si="1"/>
        <v>0</v>
      </c>
      <c r="S14" s="152">
        <f t="shared" si="2"/>
        <v>270000</v>
      </c>
      <c r="T14" s="118">
        <f t="shared" si="2"/>
        <v>0</v>
      </c>
      <c r="U14" s="35">
        <v>195000</v>
      </c>
      <c r="V14" s="118">
        <f>大3!I133</f>
        <v>0</v>
      </c>
      <c r="W14" s="35">
        <v>255000</v>
      </c>
      <c r="X14" s="118">
        <f>大3!J133</f>
        <v>0</v>
      </c>
      <c r="Y14" s="35">
        <v>315000</v>
      </c>
      <c r="Z14" s="122">
        <f>大3!K133</f>
        <v>0</v>
      </c>
      <c r="AA14" s="152">
        <f t="shared" si="3"/>
        <v>765000</v>
      </c>
      <c r="AB14" s="118">
        <f t="shared" si="3"/>
        <v>0</v>
      </c>
      <c r="AC14" s="35">
        <v>405000</v>
      </c>
      <c r="AD14" s="118">
        <f>大3!L133</f>
        <v>0</v>
      </c>
      <c r="AE14" s="35">
        <v>495000</v>
      </c>
      <c r="AF14" s="118">
        <f>大3!M133</f>
        <v>0</v>
      </c>
      <c r="AG14" s="35">
        <v>585000</v>
      </c>
      <c r="AH14" s="122">
        <f>大3!N133</f>
        <v>0</v>
      </c>
      <c r="AI14" s="152">
        <f t="shared" si="4"/>
        <v>1485000</v>
      </c>
      <c r="AJ14" s="118">
        <f t="shared" si="4"/>
        <v>0</v>
      </c>
      <c r="AK14" s="152">
        <f t="shared" si="5"/>
        <v>2250000</v>
      </c>
      <c r="AL14" s="118">
        <f t="shared" si="5"/>
        <v>0</v>
      </c>
      <c r="AM14" s="152">
        <f t="shared" si="6"/>
        <v>2520000</v>
      </c>
      <c r="AN14" s="118">
        <f t="shared" si="7"/>
        <v>0</v>
      </c>
    </row>
    <row r="15" spans="1:40" ht="20.25" customHeight="1" x14ac:dyDescent="0.15">
      <c r="A15" s="21" t="s">
        <v>77</v>
      </c>
      <c r="B15" s="22" t="s">
        <v>68</v>
      </c>
      <c r="C15" s="34"/>
      <c r="D15" s="4"/>
      <c r="E15" s="34"/>
      <c r="F15" s="4"/>
      <c r="G15" s="34"/>
      <c r="H15" s="46"/>
      <c r="I15" s="151">
        <f t="shared" si="0"/>
        <v>0</v>
      </c>
      <c r="J15" s="117">
        <f t="shared" si="0"/>
        <v>0</v>
      </c>
      <c r="K15" s="34"/>
      <c r="L15" s="4"/>
      <c r="M15" s="34"/>
      <c r="N15" s="4"/>
      <c r="O15" s="34"/>
      <c r="P15" s="46"/>
      <c r="Q15" s="151">
        <f t="shared" si="1"/>
        <v>0</v>
      </c>
      <c r="R15" s="117">
        <f t="shared" si="1"/>
        <v>0</v>
      </c>
      <c r="S15" s="151">
        <f t="shared" si="2"/>
        <v>0</v>
      </c>
      <c r="T15" s="117">
        <f t="shared" si="2"/>
        <v>0</v>
      </c>
      <c r="U15" s="34"/>
      <c r="V15" s="4"/>
      <c r="W15" s="34"/>
      <c r="X15" s="4"/>
      <c r="Y15" s="44"/>
      <c r="Z15" s="46"/>
      <c r="AA15" s="151">
        <f t="shared" si="3"/>
        <v>0</v>
      </c>
      <c r="AB15" s="117">
        <f t="shared" si="3"/>
        <v>0</v>
      </c>
      <c r="AC15" s="34"/>
      <c r="AD15" s="4"/>
      <c r="AE15" s="34"/>
      <c r="AF15" s="4"/>
      <c r="AG15" s="34"/>
      <c r="AH15" s="46"/>
      <c r="AI15" s="151">
        <f t="shared" si="4"/>
        <v>0</v>
      </c>
      <c r="AJ15" s="117">
        <f t="shared" si="4"/>
        <v>0</v>
      </c>
      <c r="AK15" s="151">
        <f t="shared" si="5"/>
        <v>0</v>
      </c>
      <c r="AL15" s="117">
        <f t="shared" si="5"/>
        <v>0</v>
      </c>
      <c r="AM15" s="151">
        <f t="shared" si="6"/>
        <v>0</v>
      </c>
      <c r="AN15" s="117">
        <f t="shared" si="7"/>
        <v>0</v>
      </c>
    </row>
    <row r="16" spans="1:40" ht="20.25" customHeight="1" x14ac:dyDescent="0.15">
      <c r="A16" s="21" t="s">
        <v>78</v>
      </c>
      <c r="B16" s="6" t="s">
        <v>69</v>
      </c>
      <c r="C16" s="34"/>
      <c r="D16" s="4"/>
      <c r="E16" s="34"/>
      <c r="F16" s="4"/>
      <c r="G16" s="34"/>
      <c r="H16" s="46"/>
      <c r="I16" s="151">
        <f t="shared" si="0"/>
        <v>0</v>
      </c>
      <c r="J16" s="117">
        <f t="shared" si="0"/>
        <v>0</v>
      </c>
      <c r="K16" s="34"/>
      <c r="L16" s="4"/>
      <c r="M16" s="34"/>
      <c r="N16" s="4"/>
      <c r="O16" s="34"/>
      <c r="P16" s="46"/>
      <c r="Q16" s="151">
        <f t="shared" si="1"/>
        <v>0</v>
      </c>
      <c r="R16" s="117">
        <f t="shared" si="1"/>
        <v>0</v>
      </c>
      <c r="S16" s="151">
        <f t="shared" si="2"/>
        <v>0</v>
      </c>
      <c r="T16" s="117">
        <f t="shared" si="2"/>
        <v>0</v>
      </c>
      <c r="U16" s="34"/>
      <c r="V16" s="4"/>
      <c r="W16" s="34"/>
      <c r="X16" s="4"/>
      <c r="Y16" s="44"/>
      <c r="Z16" s="46"/>
      <c r="AA16" s="151">
        <f t="shared" si="3"/>
        <v>0</v>
      </c>
      <c r="AB16" s="117">
        <f t="shared" si="3"/>
        <v>0</v>
      </c>
      <c r="AC16" s="34"/>
      <c r="AD16" s="4"/>
      <c r="AE16" s="34"/>
      <c r="AF16" s="4"/>
      <c r="AG16" s="34"/>
      <c r="AH16" s="46"/>
      <c r="AI16" s="151">
        <f t="shared" si="4"/>
        <v>0</v>
      </c>
      <c r="AJ16" s="117">
        <f t="shared" si="4"/>
        <v>0</v>
      </c>
      <c r="AK16" s="151">
        <f t="shared" si="5"/>
        <v>0</v>
      </c>
      <c r="AL16" s="117">
        <f t="shared" si="5"/>
        <v>0</v>
      </c>
      <c r="AM16" s="151">
        <f t="shared" si="6"/>
        <v>0</v>
      </c>
      <c r="AN16" s="117">
        <f t="shared" si="7"/>
        <v>0</v>
      </c>
    </row>
    <row r="17" spans="1:40" ht="20.25" customHeight="1" x14ac:dyDescent="0.15">
      <c r="A17" s="21" t="s">
        <v>79</v>
      </c>
      <c r="B17" s="6" t="s">
        <v>70</v>
      </c>
      <c r="C17" s="34"/>
      <c r="D17" s="4"/>
      <c r="E17" s="34"/>
      <c r="F17" s="4"/>
      <c r="G17" s="34"/>
      <c r="H17" s="46"/>
      <c r="I17" s="151">
        <f t="shared" si="0"/>
        <v>0</v>
      </c>
      <c r="J17" s="117">
        <f t="shared" si="0"/>
        <v>0</v>
      </c>
      <c r="K17" s="34"/>
      <c r="L17" s="4"/>
      <c r="M17" s="34"/>
      <c r="N17" s="4"/>
      <c r="O17" s="34"/>
      <c r="P17" s="46"/>
      <c r="Q17" s="151">
        <f t="shared" si="1"/>
        <v>0</v>
      </c>
      <c r="R17" s="117">
        <f t="shared" si="1"/>
        <v>0</v>
      </c>
      <c r="S17" s="151">
        <f t="shared" si="2"/>
        <v>0</v>
      </c>
      <c r="T17" s="117">
        <f t="shared" si="2"/>
        <v>0</v>
      </c>
      <c r="U17" s="34"/>
      <c r="V17" s="4"/>
      <c r="W17" s="34"/>
      <c r="X17" s="4"/>
      <c r="Y17" s="44"/>
      <c r="Z17" s="46"/>
      <c r="AA17" s="151">
        <f t="shared" si="3"/>
        <v>0</v>
      </c>
      <c r="AB17" s="117">
        <f t="shared" si="3"/>
        <v>0</v>
      </c>
      <c r="AC17" s="34"/>
      <c r="AD17" s="4"/>
      <c r="AE17" s="34"/>
      <c r="AF17" s="4"/>
      <c r="AG17" s="34"/>
      <c r="AH17" s="46"/>
      <c r="AI17" s="151">
        <f t="shared" si="4"/>
        <v>0</v>
      </c>
      <c r="AJ17" s="117">
        <f t="shared" si="4"/>
        <v>0</v>
      </c>
      <c r="AK17" s="151">
        <f t="shared" si="5"/>
        <v>0</v>
      </c>
      <c r="AL17" s="117">
        <f t="shared" si="5"/>
        <v>0</v>
      </c>
      <c r="AM17" s="151">
        <f t="shared" si="6"/>
        <v>0</v>
      </c>
      <c r="AN17" s="117">
        <f t="shared" si="7"/>
        <v>0</v>
      </c>
    </row>
    <row r="18" spans="1:40" ht="20.25" customHeight="1" x14ac:dyDescent="0.15">
      <c r="A18" s="23"/>
      <c r="B18" s="6" t="s">
        <v>187</v>
      </c>
      <c r="C18" s="34"/>
      <c r="D18" s="4"/>
      <c r="E18" s="34"/>
      <c r="F18" s="4"/>
      <c r="G18" s="34"/>
      <c r="H18" s="46"/>
      <c r="I18" s="151">
        <f t="shared" si="0"/>
        <v>0</v>
      </c>
      <c r="J18" s="117">
        <f t="shared" si="0"/>
        <v>0</v>
      </c>
      <c r="K18" s="34"/>
      <c r="L18" s="4"/>
      <c r="M18" s="34"/>
      <c r="N18" s="4"/>
      <c r="O18" s="34"/>
      <c r="P18" s="46"/>
      <c r="Q18" s="151">
        <f t="shared" si="1"/>
        <v>0</v>
      </c>
      <c r="R18" s="117">
        <f t="shared" si="1"/>
        <v>0</v>
      </c>
      <c r="S18" s="151">
        <f t="shared" si="2"/>
        <v>0</v>
      </c>
      <c r="T18" s="117">
        <f t="shared" si="2"/>
        <v>0</v>
      </c>
      <c r="U18" s="34"/>
      <c r="V18" s="4"/>
      <c r="W18" s="34"/>
      <c r="X18" s="4"/>
      <c r="Y18" s="44"/>
      <c r="Z18" s="46"/>
      <c r="AA18" s="151">
        <f t="shared" si="3"/>
        <v>0</v>
      </c>
      <c r="AB18" s="117">
        <f t="shared" si="3"/>
        <v>0</v>
      </c>
      <c r="AC18" s="34"/>
      <c r="AD18" s="4"/>
      <c r="AE18" s="34"/>
      <c r="AF18" s="4"/>
      <c r="AG18" s="34"/>
      <c r="AH18" s="46"/>
      <c r="AI18" s="151">
        <f t="shared" si="4"/>
        <v>0</v>
      </c>
      <c r="AJ18" s="117">
        <f t="shared" si="4"/>
        <v>0</v>
      </c>
      <c r="AK18" s="151">
        <f t="shared" si="5"/>
        <v>0</v>
      </c>
      <c r="AL18" s="117">
        <f t="shared" si="5"/>
        <v>0</v>
      </c>
      <c r="AM18" s="151">
        <f t="shared" si="6"/>
        <v>0</v>
      </c>
      <c r="AN18" s="117">
        <f t="shared" si="7"/>
        <v>0</v>
      </c>
    </row>
    <row r="19" spans="1:40" ht="20.25" customHeight="1" thickBot="1" x14ac:dyDescent="0.2">
      <c r="A19" s="23"/>
      <c r="B19" s="6" t="s">
        <v>72</v>
      </c>
      <c r="C19" s="34"/>
      <c r="D19" s="4"/>
      <c r="E19" s="34"/>
      <c r="F19" s="4"/>
      <c r="G19" s="34"/>
      <c r="H19" s="46"/>
      <c r="I19" s="151">
        <f t="shared" si="0"/>
        <v>0</v>
      </c>
      <c r="J19" s="117">
        <f t="shared" si="0"/>
        <v>0</v>
      </c>
      <c r="K19" s="34">
        <v>36288</v>
      </c>
      <c r="L19" s="4"/>
      <c r="M19" s="34">
        <v>72576</v>
      </c>
      <c r="N19" s="4"/>
      <c r="O19" s="34">
        <v>108864</v>
      </c>
      <c r="P19" s="46"/>
      <c r="Q19" s="151">
        <f t="shared" si="1"/>
        <v>217728</v>
      </c>
      <c r="R19" s="117">
        <f t="shared" si="1"/>
        <v>0</v>
      </c>
      <c r="S19" s="151">
        <f t="shared" si="2"/>
        <v>217728</v>
      </c>
      <c r="T19" s="117">
        <f t="shared" si="2"/>
        <v>0</v>
      </c>
      <c r="U19" s="34">
        <v>157248</v>
      </c>
      <c r="V19" s="4"/>
      <c r="W19" s="34">
        <v>205632</v>
      </c>
      <c r="X19" s="89"/>
      <c r="Y19" s="44">
        <v>254016</v>
      </c>
      <c r="Z19" s="137"/>
      <c r="AA19" s="151">
        <f t="shared" si="3"/>
        <v>616896</v>
      </c>
      <c r="AB19" s="117">
        <f t="shared" si="3"/>
        <v>0</v>
      </c>
      <c r="AC19" s="34">
        <v>326592</v>
      </c>
      <c r="AD19" s="4"/>
      <c r="AE19" s="34">
        <v>399168</v>
      </c>
      <c r="AF19" s="4"/>
      <c r="AG19" s="34">
        <v>471744</v>
      </c>
      <c r="AH19" s="46"/>
      <c r="AI19" s="151">
        <f t="shared" si="4"/>
        <v>1197504</v>
      </c>
      <c r="AJ19" s="117">
        <f t="shared" si="4"/>
        <v>0</v>
      </c>
      <c r="AK19" s="151">
        <f t="shared" si="5"/>
        <v>1814400</v>
      </c>
      <c r="AL19" s="117">
        <f t="shared" si="5"/>
        <v>0</v>
      </c>
      <c r="AM19" s="151">
        <f t="shared" si="6"/>
        <v>2032128</v>
      </c>
      <c r="AN19" s="117">
        <f t="shared" si="7"/>
        <v>0</v>
      </c>
    </row>
    <row r="20" spans="1:40" ht="20.25" customHeight="1" thickTop="1" thickBot="1" x14ac:dyDescent="0.2">
      <c r="A20" s="24"/>
      <c r="B20" s="7" t="s">
        <v>27</v>
      </c>
      <c r="C20" s="36">
        <f>SUM(C6:C19)</f>
        <v>0</v>
      </c>
      <c r="D20" s="8">
        <f t="shared" ref="D20:AL20" si="8">SUM(D6:D19)</f>
        <v>0</v>
      </c>
      <c r="E20" s="36">
        <f t="shared" si="8"/>
        <v>0</v>
      </c>
      <c r="F20" s="8">
        <f t="shared" si="8"/>
        <v>0</v>
      </c>
      <c r="G20" s="36">
        <f t="shared" si="8"/>
        <v>0</v>
      </c>
      <c r="H20" s="48">
        <f t="shared" si="8"/>
        <v>0</v>
      </c>
      <c r="I20" s="36">
        <f t="shared" si="8"/>
        <v>0</v>
      </c>
      <c r="J20" s="8">
        <f t="shared" si="8"/>
        <v>0</v>
      </c>
      <c r="K20" s="36">
        <f t="shared" si="8"/>
        <v>1080098</v>
      </c>
      <c r="L20" s="8">
        <f>SUM(L6:L19)</f>
        <v>0</v>
      </c>
      <c r="M20" s="36">
        <f t="shared" si="8"/>
        <v>2160196</v>
      </c>
      <c r="N20" s="8">
        <f t="shared" si="8"/>
        <v>0</v>
      </c>
      <c r="O20" s="36">
        <f t="shared" si="8"/>
        <v>3240294</v>
      </c>
      <c r="P20" s="48">
        <f t="shared" si="8"/>
        <v>0</v>
      </c>
      <c r="Q20" s="36">
        <f t="shared" si="8"/>
        <v>6480588</v>
      </c>
      <c r="R20" s="8">
        <f t="shared" si="8"/>
        <v>0</v>
      </c>
      <c r="S20" s="36">
        <f t="shared" si="8"/>
        <v>6480588</v>
      </c>
      <c r="T20" s="8">
        <f t="shared" si="8"/>
        <v>0</v>
      </c>
      <c r="U20" s="36">
        <f t="shared" si="8"/>
        <v>4680424</v>
      </c>
      <c r="V20" s="8">
        <f t="shared" si="8"/>
        <v>0</v>
      </c>
      <c r="W20" s="36">
        <f t="shared" si="8"/>
        <v>6120555</v>
      </c>
      <c r="X20" s="8">
        <f t="shared" si="8"/>
        <v>0</v>
      </c>
      <c r="Y20" s="36">
        <f t="shared" si="8"/>
        <v>7560685</v>
      </c>
      <c r="Z20" s="48">
        <f t="shared" si="8"/>
        <v>0</v>
      </c>
      <c r="AA20" s="36">
        <f t="shared" si="8"/>
        <v>18361664</v>
      </c>
      <c r="AB20" s="8">
        <f t="shared" si="8"/>
        <v>0</v>
      </c>
      <c r="AC20" s="36">
        <f t="shared" si="8"/>
        <v>9720881</v>
      </c>
      <c r="AD20" s="8">
        <f t="shared" si="8"/>
        <v>0</v>
      </c>
      <c r="AE20" s="36">
        <f t="shared" si="8"/>
        <v>11881077</v>
      </c>
      <c r="AF20" s="8">
        <f t="shared" si="8"/>
        <v>0</v>
      </c>
      <c r="AG20" s="36">
        <f t="shared" si="8"/>
        <v>14041273</v>
      </c>
      <c r="AH20" s="48">
        <f t="shared" si="8"/>
        <v>0</v>
      </c>
      <c r="AI20" s="36">
        <f t="shared" si="8"/>
        <v>35643231</v>
      </c>
      <c r="AJ20" s="8">
        <f t="shared" si="8"/>
        <v>0</v>
      </c>
      <c r="AK20" s="36">
        <f t="shared" si="8"/>
        <v>54004895</v>
      </c>
      <c r="AL20" s="8">
        <f t="shared" si="8"/>
        <v>0</v>
      </c>
      <c r="AM20" s="36">
        <f>SUM(AM6:AM19)</f>
        <v>60485483</v>
      </c>
      <c r="AN20" s="8">
        <f>SUM(AN6:AN19)</f>
        <v>0</v>
      </c>
    </row>
    <row r="21" spans="1:40" ht="20.25" customHeight="1" x14ac:dyDescent="0.15">
      <c r="A21" s="218" t="s">
        <v>28</v>
      </c>
      <c r="B21" s="219"/>
      <c r="C21" s="37">
        <f>C5-C20</f>
        <v>0</v>
      </c>
      <c r="D21" s="9">
        <f t="shared" ref="D21:AL21" si="9">D5-D20</f>
        <v>0</v>
      </c>
      <c r="E21" s="37">
        <f t="shared" si="9"/>
        <v>0</v>
      </c>
      <c r="F21" s="9">
        <f t="shared" si="9"/>
        <v>0</v>
      </c>
      <c r="G21" s="37">
        <f t="shared" si="9"/>
        <v>0</v>
      </c>
      <c r="H21" s="49">
        <f t="shared" si="9"/>
        <v>0</v>
      </c>
      <c r="I21" s="37">
        <f t="shared" si="9"/>
        <v>0</v>
      </c>
      <c r="J21" s="9">
        <f t="shared" si="9"/>
        <v>0</v>
      </c>
      <c r="K21" s="37">
        <f t="shared" si="9"/>
        <v>249022</v>
      </c>
      <c r="L21" s="9">
        <f t="shared" si="9"/>
        <v>0</v>
      </c>
      <c r="M21" s="37">
        <f t="shared" si="9"/>
        <v>498044</v>
      </c>
      <c r="N21" s="9">
        <f t="shared" si="9"/>
        <v>0</v>
      </c>
      <c r="O21" s="37">
        <f t="shared" si="9"/>
        <v>747066</v>
      </c>
      <c r="P21" s="49">
        <f t="shared" si="9"/>
        <v>0</v>
      </c>
      <c r="Q21" s="37">
        <f t="shared" si="9"/>
        <v>1494132</v>
      </c>
      <c r="R21" s="9">
        <f t="shared" si="9"/>
        <v>0</v>
      </c>
      <c r="S21" s="37">
        <f t="shared" si="9"/>
        <v>1494132</v>
      </c>
      <c r="T21" s="9">
        <f t="shared" si="9"/>
        <v>0</v>
      </c>
      <c r="U21" s="37">
        <f t="shared" si="9"/>
        <v>1079096</v>
      </c>
      <c r="V21" s="9">
        <f t="shared" si="9"/>
        <v>0</v>
      </c>
      <c r="W21" s="37">
        <f t="shared" si="9"/>
        <v>1411125</v>
      </c>
      <c r="X21" s="9">
        <f t="shared" si="9"/>
        <v>0</v>
      </c>
      <c r="Y21" s="37">
        <f t="shared" si="9"/>
        <v>1743155</v>
      </c>
      <c r="Z21" s="49">
        <f t="shared" si="9"/>
        <v>0</v>
      </c>
      <c r="AA21" s="37">
        <f t="shared" si="9"/>
        <v>4233376</v>
      </c>
      <c r="AB21" s="9">
        <f t="shared" si="9"/>
        <v>0</v>
      </c>
      <c r="AC21" s="37">
        <f t="shared" si="9"/>
        <v>2241199</v>
      </c>
      <c r="AD21" s="9">
        <f t="shared" si="9"/>
        <v>0</v>
      </c>
      <c r="AE21" s="37">
        <f t="shared" si="9"/>
        <v>2739243</v>
      </c>
      <c r="AF21" s="9">
        <f t="shared" si="9"/>
        <v>0</v>
      </c>
      <c r="AG21" s="37">
        <f t="shared" si="9"/>
        <v>3237287</v>
      </c>
      <c r="AH21" s="49">
        <f t="shared" si="9"/>
        <v>0</v>
      </c>
      <c r="AI21" s="37">
        <f t="shared" si="9"/>
        <v>8217729</v>
      </c>
      <c r="AJ21" s="9">
        <f t="shared" si="9"/>
        <v>0</v>
      </c>
      <c r="AK21" s="37">
        <f t="shared" si="9"/>
        <v>12451105</v>
      </c>
      <c r="AL21" s="9">
        <f t="shared" si="9"/>
        <v>0</v>
      </c>
      <c r="AM21" s="37">
        <f>AM5-AM20</f>
        <v>13945237</v>
      </c>
      <c r="AN21" s="9">
        <f>AN5-AN20</f>
        <v>0</v>
      </c>
    </row>
    <row r="22" spans="1:40" s="11" customFormat="1" ht="20.25" customHeight="1" thickBot="1" x14ac:dyDescent="0.2">
      <c r="A22" s="210" t="s">
        <v>29</v>
      </c>
      <c r="B22" s="211"/>
      <c r="C22" s="38" t="str">
        <f>IF(C5=0,"        ―",C21/C5)</f>
        <v xml:space="preserve">        ―</v>
      </c>
      <c r="D22" s="10" t="str">
        <f t="shared" ref="D22:AN22" si="10">IF(D5=0,"        ―",D21/D5)</f>
        <v xml:space="preserve">        ―</v>
      </c>
      <c r="E22" s="38" t="str">
        <f t="shared" si="10"/>
        <v xml:space="preserve">        ―</v>
      </c>
      <c r="F22" s="10" t="str">
        <f t="shared" si="10"/>
        <v xml:space="preserve">        ―</v>
      </c>
      <c r="G22" s="38" t="str">
        <f t="shared" si="10"/>
        <v xml:space="preserve">        ―</v>
      </c>
      <c r="H22" s="50" t="str">
        <f t="shared" si="10"/>
        <v xml:space="preserve">        ―</v>
      </c>
      <c r="I22" s="38" t="str">
        <f t="shared" si="10"/>
        <v xml:space="preserve">        ―</v>
      </c>
      <c r="J22" s="10" t="str">
        <f t="shared" si="10"/>
        <v xml:space="preserve">        ―</v>
      </c>
      <c r="K22" s="38">
        <f t="shared" si="10"/>
        <v>0.1873585530275671</v>
      </c>
      <c r="L22" s="10" t="str">
        <f t="shared" si="10"/>
        <v xml:space="preserve">        ―</v>
      </c>
      <c r="M22" s="38">
        <f t="shared" si="10"/>
        <v>0.1873585530275671</v>
      </c>
      <c r="N22" s="10" t="str">
        <f t="shared" si="10"/>
        <v xml:space="preserve">        ―</v>
      </c>
      <c r="O22" s="38">
        <f t="shared" si="10"/>
        <v>0.1873585530275671</v>
      </c>
      <c r="P22" s="50" t="str">
        <f t="shared" si="10"/>
        <v xml:space="preserve">        ―</v>
      </c>
      <c r="Q22" s="38">
        <f t="shared" si="10"/>
        <v>0.1873585530275671</v>
      </c>
      <c r="R22" s="10" t="str">
        <f t="shared" si="10"/>
        <v xml:space="preserve">        ―</v>
      </c>
      <c r="S22" s="38">
        <f t="shared" si="10"/>
        <v>0.1873585530275671</v>
      </c>
      <c r="T22" s="10" t="str">
        <f t="shared" si="10"/>
        <v xml:space="preserve">        ―</v>
      </c>
      <c r="U22" s="38">
        <f t="shared" si="10"/>
        <v>0.18735866877795371</v>
      </c>
      <c r="V22" s="10" t="str">
        <f t="shared" si="10"/>
        <v xml:space="preserve">        ―</v>
      </c>
      <c r="W22" s="38">
        <f t="shared" si="10"/>
        <v>0.18735859728506787</v>
      </c>
      <c r="X22" s="10" t="str">
        <f t="shared" si="10"/>
        <v xml:space="preserve">        ―</v>
      </c>
      <c r="Y22" s="38">
        <f t="shared" si="10"/>
        <v>0.18735866051006897</v>
      </c>
      <c r="Z22" s="50" t="str">
        <f t="shared" si="10"/>
        <v xml:space="preserve">        ―</v>
      </c>
      <c r="AA22" s="38">
        <f t="shared" si="10"/>
        <v>0.18735864154256862</v>
      </c>
      <c r="AB22" s="10" t="str">
        <f t="shared" si="10"/>
        <v xml:space="preserve">        ―</v>
      </c>
      <c r="AC22" s="38">
        <f t="shared" si="10"/>
        <v>0.18735863662506855</v>
      </c>
      <c r="AD22" s="10" t="str">
        <f t="shared" si="10"/>
        <v xml:space="preserve">        ―</v>
      </c>
      <c r="AE22" s="38">
        <f t="shared" si="10"/>
        <v>0.18735862142552284</v>
      </c>
      <c r="AF22" s="10" t="str">
        <f t="shared" si="10"/>
        <v xml:space="preserve">        ―</v>
      </c>
      <c r="AG22" s="38">
        <f t="shared" si="10"/>
        <v>0.1873586109027604</v>
      </c>
      <c r="AH22" s="50" t="str">
        <f t="shared" si="10"/>
        <v xml:space="preserve">        ―</v>
      </c>
      <c r="AI22" s="38">
        <f t="shared" si="10"/>
        <v>0.18735862142552284</v>
      </c>
      <c r="AJ22" s="10" t="str">
        <f t="shared" si="10"/>
        <v xml:space="preserve">        ―</v>
      </c>
      <c r="AK22" s="38">
        <f t="shared" si="10"/>
        <v>0.18735862826531841</v>
      </c>
      <c r="AL22" s="10" t="str">
        <f t="shared" si="10"/>
        <v xml:space="preserve">        ―</v>
      </c>
      <c r="AM22" s="38">
        <f t="shared" si="10"/>
        <v>0.18735862020413077</v>
      </c>
      <c r="AN22" s="10" t="str">
        <f t="shared" si="10"/>
        <v xml:space="preserve">        ―</v>
      </c>
    </row>
    <row r="23" spans="1:40" ht="20.25" customHeight="1" x14ac:dyDescent="0.15">
      <c r="A23" s="25" t="s">
        <v>30</v>
      </c>
      <c r="B23" s="3" t="s">
        <v>31</v>
      </c>
      <c r="C23" s="34"/>
      <c r="D23" s="4"/>
      <c r="E23" s="34"/>
      <c r="F23" s="4">
        <v>670000</v>
      </c>
      <c r="G23" s="34">
        <v>1070000</v>
      </c>
      <c r="H23" s="46">
        <v>670000</v>
      </c>
      <c r="I23" s="151"/>
      <c r="J23" s="117"/>
      <c r="K23" s="34">
        <v>1070000</v>
      </c>
      <c r="L23" s="4">
        <v>670000</v>
      </c>
      <c r="M23" s="34">
        <v>1070000</v>
      </c>
      <c r="N23" s="4">
        <v>670000</v>
      </c>
      <c r="O23" s="34">
        <v>1195000</v>
      </c>
      <c r="P23" s="46">
        <v>670000</v>
      </c>
      <c r="Q23" s="151">
        <f>K23+M23+O23</f>
        <v>3335000</v>
      </c>
      <c r="R23" s="117">
        <f>L23+N23+P23</f>
        <v>2010000</v>
      </c>
      <c r="S23" s="151">
        <f>I23+Q23</f>
        <v>3335000</v>
      </c>
      <c r="T23" s="117">
        <f>J23+R23</f>
        <v>2010000</v>
      </c>
      <c r="U23" s="34">
        <v>1195000</v>
      </c>
      <c r="V23" s="4">
        <v>670000</v>
      </c>
      <c r="W23" s="34">
        <v>1195000</v>
      </c>
      <c r="X23" s="4">
        <v>670000</v>
      </c>
      <c r="Y23" s="34">
        <v>1595000</v>
      </c>
      <c r="Z23" s="46">
        <v>1005000</v>
      </c>
      <c r="AA23" s="151"/>
      <c r="AB23" s="117"/>
      <c r="AC23" s="34">
        <v>1595000</v>
      </c>
      <c r="AD23" s="4"/>
      <c r="AE23" s="34">
        <v>1595000</v>
      </c>
      <c r="AF23" s="4"/>
      <c r="AG23" s="34">
        <v>1995000</v>
      </c>
      <c r="AH23" s="46"/>
      <c r="AI23" s="151">
        <f>AC23+AE23+AG23</f>
        <v>5185000</v>
      </c>
      <c r="AJ23" s="117">
        <f>AD23+AF23+AH23</f>
        <v>0</v>
      </c>
      <c r="AK23" s="151">
        <f>AA23+AI23</f>
        <v>5185000</v>
      </c>
      <c r="AL23" s="117">
        <f>AB23+AJ23</f>
        <v>0</v>
      </c>
      <c r="AM23" s="151">
        <f t="shared" ref="AM23:AN38" si="11">SUM(C23,E23,G23,K23,M23,O23,U23,W23,Y23,AC23,AE23,AG23)</f>
        <v>13575000</v>
      </c>
      <c r="AN23" s="117">
        <f t="shared" si="11"/>
        <v>5695000</v>
      </c>
    </row>
    <row r="24" spans="1:40" ht="20.25" customHeight="1" x14ac:dyDescent="0.15">
      <c r="A24" s="21" t="s">
        <v>80</v>
      </c>
      <c r="B24" s="5" t="s">
        <v>32</v>
      </c>
      <c r="C24" s="34"/>
      <c r="D24" s="4"/>
      <c r="E24" s="34"/>
      <c r="F24" s="4">
        <v>0</v>
      </c>
      <c r="G24" s="34"/>
      <c r="H24" s="46">
        <v>0</v>
      </c>
      <c r="I24" s="151"/>
      <c r="J24" s="117"/>
      <c r="K24" s="34"/>
      <c r="L24" s="4">
        <v>0</v>
      </c>
      <c r="M24" s="34"/>
      <c r="N24" s="4">
        <v>0</v>
      </c>
      <c r="O24" s="34"/>
      <c r="P24" s="46">
        <v>0</v>
      </c>
      <c r="Q24" s="151">
        <f t="shared" ref="Q24:R31" si="12">K24+M24+O24</f>
        <v>0</v>
      </c>
      <c r="R24" s="117">
        <f t="shared" si="12"/>
        <v>0</v>
      </c>
      <c r="S24" s="151">
        <f t="shared" ref="S24:T31" si="13">I24+Q24</f>
        <v>0</v>
      </c>
      <c r="T24" s="117">
        <f t="shared" si="13"/>
        <v>0</v>
      </c>
      <c r="U24" s="34"/>
      <c r="V24" s="4">
        <v>0</v>
      </c>
      <c r="W24" s="34"/>
      <c r="X24" s="4">
        <v>0</v>
      </c>
      <c r="Y24" s="34"/>
      <c r="Z24" s="46">
        <v>0</v>
      </c>
      <c r="AA24" s="151"/>
      <c r="AB24" s="117"/>
      <c r="AC24" s="34"/>
      <c r="AD24" s="4"/>
      <c r="AE24" s="34"/>
      <c r="AF24" s="4"/>
      <c r="AG24" s="34"/>
      <c r="AH24" s="46"/>
      <c r="AI24" s="151">
        <f t="shared" ref="AI24:AJ31" si="14">AC24+AE24+AG24</f>
        <v>0</v>
      </c>
      <c r="AJ24" s="117">
        <f t="shared" si="14"/>
        <v>0</v>
      </c>
      <c r="AK24" s="151">
        <f t="shared" ref="AK24:AL31" si="15">AA24+AI24</f>
        <v>0</v>
      </c>
      <c r="AL24" s="117">
        <f t="shared" si="15"/>
        <v>0</v>
      </c>
      <c r="AM24" s="151">
        <f t="shared" si="11"/>
        <v>0</v>
      </c>
      <c r="AN24" s="117">
        <f t="shared" si="11"/>
        <v>0</v>
      </c>
    </row>
    <row r="25" spans="1:40" ht="20.25" customHeight="1" x14ac:dyDescent="0.15">
      <c r="A25" s="23"/>
      <c r="B25" s="5" t="s">
        <v>33</v>
      </c>
      <c r="C25" s="34"/>
      <c r="D25" s="4"/>
      <c r="E25" s="34"/>
      <c r="F25" s="4">
        <v>0</v>
      </c>
      <c r="G25" s="34"/>
      <c r="H25" s="46">
        <v>0</v>
      </c>
      <c r="I25" s="151"/>
      <c r="J25" s="117"/>
      <c r="K25" s="34"/>
      <c r="L25" s="4">
        <v>0</v>
      </c>
      <c r="M25" s="34"/>
      <c r="N25" s="4">
        <v>0</v>
      </c>
      <c r="O25" s="34"/>
      <c r="P25" s="46">
        <v>0</v>
      </c>
      <c r="Q25" s="151">
        <f t="shared" si="12"/>
        <v>0</v>
      </c>
      <c r="R25" s="117">
        <f t="shared" si="12"/>
        <v>0</v>
      </c>
      <c r="S25" s="151">
        <f t="shared" si="13"/>
        <v>0</v>
      </c>
      <c r="T25" s="117">
        <f t="shared" si="13"/>
        <v>0</v>
      </c>
      <c r="U25" s="34"/>
      <c r="V25" s="4">
        <v>0</v>
      </c>
      <c r="W25" s="34"/>
      <c r="X25" s="4">
        <v>0</v>
      </c>
      <c r="Y25" s="34"/>
      <c r="Z25" s="46">
        <v>0</v>
      </c>
      <c r="AA25" s="151"/>
      <c r="AB25" s="117"/>
      <c r="AC25" s="34"/>
      <c r="AD25" s="4"/>
      <c r="AE25" s="34"/>
      <c r="AF25" s="4"/>
      <c r="AG25" s="34"/>
      <c r="AH25" s="46"/>
      <c r="AI25" s="151">
        <f t="shared" si="14"/>
        <v>0</v>
      </c>
      <c r="AJ25" s="117">
        <f t="shared" si="14"/>
        <v>0</v>
      </c>
      <c r="AK25" s="151">
        <f t="shared" si="15"/>
        <v>0</v>
      </c>
      <c r="AL25" s="117">
        <f t="shared" si="15"/>
        <v>0</v>
      </c>
      <c r="AM25" s="151">
        <f t="shared" si="11"/>
        <v>0</v>
      </c>
      <c r="AN25" s="117">
        <f t="shared" si="11"/>
        <v>0</v>
      </c>
    </row>
    <row r="26" spans="1:40" ht="20.25" customHeight="1" x14ac:dyDescent="0.15">
      <c r="A26" s="23"/>
      <c r="B26" s="5" t="s">
        <v>22</v>
      </c>
      <c r="C26" s="34"/>
      <c r="D26" s="4"/>
      <c r="E26" s="34"/>
      <c r="F26" s="4">
        <v>34748</v>
      </c>
      <c r="G26" s="34">
        <v>52430</v>
      </c>
      <c r="H26" s="46">
        <v>34748</v>
      </c>
      <c r="I26" s="151"/>
      <c r="J26" s="117"/>
      <c r="K26" s="34">
        <v>52430</v>
      </c>
      <c r="L26" s="4">
        <v>34748</v>
      </c>
      <c r="M26" s="34">
        <v>52430</v>
      </c>
      <c r="N26" s="4">
        <v>34748</v>
      </c>
      <c r="O26" s="34">
        <v>58555</v>
      </c>
      <c r="P26" s="46">
        <v>34748</v>
      </c>
      <c r="Q26" s="151">
        <f t="shared" si="12"/>
        <v>163415</v>
      </c>
      <c r="R26" s="117">
        <f t="shared" si="12"/>
        <v>104244</v>
      </c>
      <c r="S26" s="151">
        <f t="shared" si="13"/>
        <v>163415</v>
      </c>
      <c r="T26" s="117">
        <f t="shared" si="13"/>
        <v>104244</v>
      </c>
      <c r="U26" s="34">
        <v>58555</v>
      </c>
      <c r="V26" s="4">
        <v>34748</v>
      </c>
      <c r="W26" s="34">
        <v>58555</v>
      </c>
      <c r="X26" s="4">
        <v>34748</v>
      </c>
      <c r="Y26" s="34">
        <v>78155</v>
      </c>
      <c r="Z26" s="46">
        <v>34748</v>
      </c>
      <c r="AA26" s="151"/>
      <c r="AB26" s="117"/>
      <c r="AC26" s="34">
        <v>78155</v>
      </c>
      <c r="AD26" s="4"/>
      <c r="AE26" s="34">
        <v>78155</v>
      </c>
      <c r="AF26" s="4"/>
      <c r="AG26" s="34">
        <v>97755</v>
      </c>
      <c r="AH26" s="46"/>
      <c r="AI26" s="151">
        <f t="shared" si="14"/>
        <v>254065</v>
      </c>
      <c r="AJ26" s="117">
        <f t="shared" si="14"/>
        <v>0</v>
      </c>
      <c r="AK26" s="151">
        <f t="shared" si="15"/>
        <v>254065</v>
      </c>
      <c r="AL26" s="117">
        <f t="shared" si="15"/>
        <v>0</v>
      </c>
      <c r="AM26" s="151">
        <f t="shared" si="11"/>
        <v>665175</v>
      </c>
      <c r="AN26" s="117">
        <f t="shared" si="11"/>
        <v>277984</v>
      </c>
    </row>
    <row r="27" spans="1:40" ht="20.25" customHeight="1" x14ac:dyDescent="0.15">
      <c r="A27" s="23"/>
      <c r="B27" s="5" t="s">
        <v>67</v>
      </c>
      <c r="C27" s="34"/>
      <c r="D27" s="4"/>
      <c r="E27" s="34"/>
      <c r="F27" s="4">
        <v>5576</v>
      </c>
      <c r="G27" s="34">
        <v>6420</v>
      </c>
      <c r="H27" s="46">
        <v>5576</v>
      </c>
      <c r="I27" s="151"/>
      <c r="J27" s="117"/>
      <c r="K27" s="34">
        <v>6420</v>
      </c>
      <c r="L27" s="4">
        <v>5576</v>
      </c>
      <c r="M27" s="34">
        <v>6420</v>
      </c>
      <c r="N27" s="4">
        <v>5576</v>
      </c>
      <c r="O27" s="34">
        <v>7170</v>
      </c>
      <c r="P27" s="46">
        <v>5576</v>
      </c>
      <c r="Q27" s="151">
        <f t="shared" si="12"/>
        <v>20010</v>
      </c>
      <c r="R27" s="117">
        <f t="shared" si="12"/>
        <v>16728</v>
      </c>
      <c r="S27" s="151">
        <f t="shared" si="13"/>
        <v>20010</v>
      </c>
      <c r="T27" s="117">
        <f t="shared" si="13"/>
        <v>16728</v>
      </c>
      <c r="U27" s="34">
        <v>7170</v>
      </c>
      <c r="V27" s="4">
        <v>5576</v>
      </c>
      <c r="W27" s="34">
        <v>7170</v>
      </c>
      <c r="X27" s="4">
        <v>5576</v>
      </c>
      <c r="Y27" s="34">
        <v>9570</v>
      </c>
      <c r="Z27" s="46">
        <v>5576</v>
      </c>
      <c r="AA27" s="151"/>
      <c r="AB27" s="117"/>
      <c r="AC27" s="34">
        <v>9570</v>
      </c>
      <c r="AD27" s="4"/>
      <c r="AE27" s="34">
        <v>9570</v>
      </c>
      <c r="AF27" s="4"/>
      <c r="AG27" s="34">
        <v>11970</v>
      </c>
      <c r="AH27" s="46"/>
      <c r="AI27" s="151">
        <f t="shared" si="14"/>
        <v>31110</v>
      </c>
      <c r="AJ27" s="117">
        <f t="shared" si="14"/>
        <v>0</v>
      </c>
      <c r="AK27" s="151">
        <f t="shared" si="15"/>
        <v>31110</v>
      </c>
      <c r="AL27" s="117">
        <f t="shared" si="15"/>
        <v>0</v>
      </c>
      <c r="AM27" s="151">
        <f t="shared" si="11"/>
        <v>81450</v>
      </c>
      <c r="AN27" s="117">
        <f t="shared" si="11"/>
        <v>44608</v>
      </c>
    </row>
    <row r="28" spans="1:40" ht="20.25" customHeight="1" x14ac:dyDescent="0.15">
      <c r="A28" s="23"/>
      <c r="B28" s="5" t="s">
        <v>23</v>
      </c>
      <c r="C28" s="34"/>
      <c r="D28" s="4"/>
      <c r="E28" s="34"/>
      <c r="F28" s="4">
        <v>59475</v>
      </c>
      <c r="G28" s="34">
        <v>98440</v>
      </c>
      <c r="H28" s="46">
        <v>59475</v>
      </c>
      <c r="I28" s="151"/>
      <c r="J28" s="117"/>
      <c r="K28" s="34">
        <v>98440</v>
      </c>
      <c r="L28" s="4">
        <v>59475</v>
      </c>
      <c r="M28" s="34">
        <v>98440</v>
      </c>
      <c r="N28" s="4">
        <v>59475</v>
      </c>
      <c r="O28" s="34">
        <v>109940</v>
      </c>
      <c r="P28" s="46">
        <v>59475</v>
      </c>
      <c r="Q28" s="151">
        <f t="shared" si="12"/>
        <v>306820</v>
      </c>
      <c r="R28" s="117">
        <f t="shared" si="12"/>
        <v>178425</v>
      </c>
      <c r="S28" s="151">
        <f t="shared" si="13"/>
        <v>306820</v>
      </c>
      <c r="T28" s="117">
        <f t="shared" si="13"/>
        <v>178425</v>
      </c>
      <c r="U28" s="34">
        <v>109940</v>
      </c>
      <c r="V28" s="4">
        <v>59475</v>
      </c>
      <c r="W28" s="34">
        <v>109940</v>
      </c>
      <c r="X28" s="4">
        <v>59475</v>
      </c>
      <c r="Y28" s="34">
        <v>146740</v>
      </c>
      <c r="Z28" s="46">
        <v>59475</v>
      </c>
      <c r="AA28" s="151"/>
      <c r="AB28" s="117"/>
      <c r="AC28" s="34">
        <v>146740</v>
      </c>
      <c r="AD28" s="4"/>
      <c r="AE28" s="34">
        <v>146740</v>
      </c>
      <c r="AF28" s="4"/>
      <c r="AG28" s="34">
        <v>183540</v>
      </c>
      <c r="AH28" s="46"/>
      <c r="AI28" s="151">
        <f t="shared" si="14"/>
        <v>477020</v>
      </c>
      <c r="AJ28" s="117">
        <f t="shared" si="14"/>
        <v>0</v>
      </c>
      <c r="AK28" s="151">
        <f t="shared" si="15"/>
        <v>477020</v>
      </c>
      <c r="AL28" s="117">
        <f t="shared" si="15"/>
        <v>0</v>
      </c>
      <c r="AM28" s="151">
        <f t="shared" si="11"/>
        <v>1248900</v>
      </c>
      <c r="AN28" s="117">
        <f t="shared" si="11"/>
        <v>475800</v>
      </c>
    </row>
    <row r="29" spans="1:40" ht="20.25" customHeight="1" x14ac:dyDescent="0.15">
      <c r="A29" s="23"/>
      <c r="B29" s="5" t="s">
        <v>24</v>
      </c>
      <c r="C29" s="34"/>
      <c r="D29" s="4"/>
      <c r="E29" s="34"/>
      <c r="F29" s="4">
        <v>4062</v>
      </c>
      <c r="G29" s="34">
        <v>6452</v>
      </c>
      <c r="H29" s="46">
        <v>4068</v>
      </c>
      <c r="I29" s="151"/>
      <c r="J29" s="117"/>
      <c r="K29" s="34">
        <v>6452</v>
      </c>
      <c r="L29" s="4">
        <v>4068</v>
      </c>
      <c r="M29" s="34">
        <v>6452</v>
      </c>
      <c r="N29" s="4">
        <v>4068</v>
      </c>
      <c r="O29" s="34">
        <v>7206</v>
      </c>
      <c r="P29" s="46">
        <v>4068</v>
      </c>
      <c r="Q29" s="151">
        <f t="shared" si="12"/>
        <v>20110</v>
      </c>
      <c r="R29" s="117">
        <f t="shared" si="12"/>
        <v>12204</v>
      </c>
      <c r="S29" s="151">
        <f t="shared" si="13"/>
        <v>20110</v>
      </c>
      <c r="T29" s="117">
        <f t="shared" si="13"/>
        <v>12204</v>
      </c>
      <c r="U29" s="34">
        <v>7206</v>
      </c>
      <c r="V29" s="4">
        <v>4068</v>
      </c>
      <c r="W29" s="34">
        <v>7206</v>
      </c>
      <c r="X29" s="4">
        <v>6780</v>
      </c>
      <c r="Y29" s="34">
        <v>9618</v>
      </c>
      <c r="Z29" s="46">
        <v>10130</v>
      </c>
      <c r="AA29" s="151"/>
      <c r="AB29" s="117"/>
      <c r="AC29" s="34">
        <v>9618</v>
      </c>
      <c r="AD29" s="4"/>
      <c r="AE29" s="34">
        <v>9618</v>
      </c>
      <c r="AF29" s="4"/>
      <c r="AG29" s="34">
        <v>12030</v>
      </c>
      <c r="AH29" s="46"/>
      <c r="AI29" s="151">
        <f t="shared" si="14"/>
        <v>31266</v>
      </c>
      <c r="AJ29" s="117">
        <f t="shared" si="14"/>
        <v>0</v>
      </c>
      <c r="AK29" s="151">
        <f t="shared" si="15"/>
        <v>31266</v>
      </c>
      <c r="AL29" s="117">
        <f t="shared" si="15"/>
        <v>0</v>
      </c>
      <c r="AM29" s="151">
        <f t="shared" si="11"/>
        <v>81858</v>
      </c>
      <c r="AN29" s="117">
        <f t="shared" si="11"/>
        <v>41312</v>
      </c>
    </row>
    <row r="30" spans="1:40" ht="20.25" customHeight="1" x14ac:dyDescent="0.15">
      <c r="A30" s="23"/>
      <c r="B30" s="5" t="s">
        <v>25</v>
      </c>
      <c r="C30" s="34"/>
      <c r="D30" s="4"/>
      <c r="E30" s="34"/>
      <c r="F30" s="4">
        <v>2030.52</v>
      </c>
      <c r="G30" s="34">
        <v>3210</v>
      </c>
      <c r="H30" s="46">
        <v>2033.94</v>
      </c>
      <c r="I30" s="151"/>
      <c r="J30" s="117"/>
      <c r="K30" s="34">
        <v>3210</v>
      </c>
      <c r="L30" s="4">
        <v>2033.94</v>
      </c>
      <c r="M30" s="34">
        <v>3210</v>
      </c>
      <c r="N30" s="4">
        <v>2033.94</v>
      </c>
      <c r="O30" s="34">
        <v>3585</v>
      </c>
      <c r="P30" s="46">
        <v>2033.94</v>
      </c>
      <c r="Q30" s="151">
        <f t="shared" si="12"/>
        <v>10005</v>
      </c>
      <c r="R30" s="117">
        <f t="shared" si="12"/>
        <v>6101.82</v>
      </c>
      <c r="S30" s="151">
        <f t="shared" si="13"/>
        <v>10005</v>
      </c>
      <c r="T30" s="117">
        <f t="shared" si="13"/>
        <v>6101.82</v>
      </c>
      <c r="U30" s="34">
        <v>3585</v>
      </c>
      <c r="V30" s="4">
        <v>2033.94</v>
      </c>
      <c r="W30" s="34">
        <v>3585</v>
      </c>
      <c r="X30" s="4">
        <v>2033.94</v>
      </c>
      <c r="Y30" s="34">
        <v>4785</v>
      </c>
      <c r="Z30" s="46">
        <v>3038.94</v>
      </c>
      <c r="AA30" s="151"/>
      <c r="AB30" s="117"/>
      <c r="AC30" s="34">
        <v>4785</v>
      </c>
      <c r="AD30" s="4"/>
      <c r="AE30" s="34">
        <v>4785</v>
      </c>
      <c r="AF30" s="4"/>
      <c r="AG30" s="34">
        <v>5985</v>
      </c>
      <c r="AH30" s="46"/>
      <c r="AI30" s="151">
        <f t="shared" si="14"/>
        <v>15555</v>
      </c>
      <c r="AJ30" s="117">
        <f t="shared" si="14"/>
        <v>0</v>
      </c>
      <c r="AK30" s="151">
        <f t="shared" si="15"/>
        <v>15555</v>
      </c>
      <c r="AL30" s="117">
        <f t="shared" si="15"/>
        <v>0</v>
      </c>
      <c r="AM30" s="151">
        <f t="shared" si="11"/>
        <v>40725</v>
      </c>
      <c r="AN30" s="117">
        <f t="shared" si="11"/>
        <v>17273.100000000002</v>
      </c>
    </row>
    <row r="31" spans="1:40" ht="20.25" customHeight="1" thickBot="1" x14ac:dyDescent="0.2">
      <c r="A31" s="23"/>
      <c r="B31" s="6" t="s">
        <v>26</v>
      </c>
      <c r="C31" s="34"/>
      <c r="D31" s="4"/>
      <c r="E31" s="34"/>
      <c r="F31" s="4">
        <v>6840</v>
      </c>
      <c r="G31" s="34">
        <v>10000</v>
      </c>
      <c r="H31" s="46">
        <v>7980</v>
      </c>
      <c r="I31" s="151"/>
      <c r="J31" s="117"/>
      <c r="K31" s="34">
        <v>10000</v>
      </c>
      <c r="L31" s="4">
        <v>7980</v>
      </c>
      <c r="M31" s="34">
        <v>10000</v>
      </c>
      <c r="N31" s="4">
        <v>7980</v>
      </c>
      <c r="O31" s="34">
        <v>25000</v>
      </c>
      <c r="P31" s="46">
        <v>7980</v>
      </c>
      <c r="Q31" s="151">
        <f t="shared" si="12"/>
        <v>45000</v>
      </c>
      <c r="R31" s="117">
        <f>L31+N31+P31</f>
        <v>23940</v>
      </c>
      <c r="S31" s="151">
        <f t="shared" si="13"/>
        <v>45000</v>
      </c>
      <c r="T31" s="117">
        <f t="shared" si="13"/>
        <v>23940</v>
      </c>
      <c r="U31" s="34">
        <v>25000</v>
      </c>
      <c r="V31" s="4">
        <v>7980</v>
      </c>
      <c r="W31" s="34">
        <v>25000</v>
      </c>
      <c r="X31" s="4">
        <v>7980</v>
      </c>
      <c r="Y31" s="34">
        <v>35000</v>
      </c>
      <c r="Z31" s="46">
        <v>7980</v>
      </c>
      <c r="AA31" s="151"/>
      <c r="AB31" s="117"/>
      <c r="AC31" s="34">
        <v>35000</v>
      </c>
      <c r="AD31" s="4"/>
      <c r="AE31" s="34">
        <v>35000</v>
      </c>
      <c r="AF31" s="4"/>
      <c r="AG31" s="34">
        <v>45000</v>
      </c>
      <c r="AH31" s="46"/>
      <c r="AI31" s="151">
        <f t="shared" si="14"/>
        <v>115000</v>
      </c>
      <c r="AJ31" s="117">
        <f>AD31+AF31+AH31</f>
        <v>0</v>
      </c>
      <c r="AK31" s="151">
        <f t="shared" si="15"/>
        <v>115000</v>
      </c>
      <c r="AL31" s="117">
        <f t="shared" si="15"/>
        <v>0</v>
      </c>
      <c r="AM31" s="151">
        <f t="shared" si="11"/>
        <v>255000</v>
      </c>
      <c r="AN31" s="117">
        <f t="shared" si="11"/>
        <v>62700</v>
      </c>
    </row>
    <row r="32" spans="1:40" ht="20.25" customHeight="1" thickTop="1" thickBot="1" x14ac:dyDescent="0.2">
      <c r="A32" s="24"/>
      <c r="B32" s="12" t="s">
        <v>27</v>
      </c>
      <c r="C32" s="39">
        <f>SUM(C23:C31)</f>
        <v>0</v>
      </c>
      <c r="D32" s="13">
        <f>SUM(D23:D31)</f>
        <v>0</v>
      </c>
      <c r="E32" s="39">
        <f t="shared" ref="E32:AL32" si="16">SUM(E23:E31)</f>
        <v>0</v>
      </c>
      <c r="F32" s="13">
        <f t="shared" si="16"/>
        <v>782731.52</v>
      </c>
      <c r="G32" s="39">
        <f t="shared" si="16"/>
        <v>1246952</v>
      </c>
      <c r="H32" s="51">
        <f t="shared" si="16"/>
        <v>783880.94</v>
      </c>
      <c r="I32" s="39">
        <f t="shared" si="16"/>
        <v>0</v>
      </c>
      <c r="J32" s="13">
        <f t="shared" si="16"/>
        <v>0</v>
      </c>
      <c r="K32" s="39">
        <f t="shared" si="16"/>
        <v>1246952</v>
      </c>
      <c r="L32" s="13">
        <f t="shared" si="16"/>
        <v>783880.94</v>
      </c>
      <c r="M32" s="39">
        <f t="shared" si="16"/>
        <v>1246952</v>
      </c>
      <c r="N32" s="13">
        <f t="shared" si="16"/>
        <v>783880.94</v>
      </c>
      <c r="O32" s="39">
        <f t="shared" si="16"/>
        <v>1406456</v>
      </c>
      <c r="P32" s="51">
        <f t="shared" si="16"/>
        <v>783880.94</v>
      </c>
      <c r="Q32" s="39">
        <f t="shared" si="16"/>
        <v>3900360</v>
      </c>
      <c r="R32" s="13">
        <f t="shared" si="16"/>
        <v>2351642.8199999998</v>
      </c>
      <c r="S32" s="39">
        <f t="shared" si="16"/>
        <v>3900360</v>
      </c>
      <c r="T32" s="13">
        <f t="shared" si="16"/>
        <v>2351642.8199999998</v>
      </c>
      <c r="U32" s="39">
        <f t="shared" si="16"/>
        <v>1406456</v>
      </c>
      <c r="V32" s="13">
        <f t="shared" si="16"/>
        <v>783880.94</v>
      </c>
      <c r="W32" s="39">
        <f t="shared" si="16"/>
        <v>1406456</v>
      </c>
      <c r="X32" s="13">
        <f t="shared" si="16"/>
        <v>786592.94</v>
      </c>
      <c r="Y32" s="39">
        <f t="shared" si="16"/>
        <v>1878868</v>
      </c>
      <c r="Z32" s="51">
        <f t="shared" si="16"/>
        <v>1125947.94</v>
      </c>
      <c r="AA32" s="39">
        <f t="shared" si="16"/>
        <v>0</v>
      </c>
      <c r="AB32" s="13">
        <f t="shared" si="16"/>
        <v>0</v>
      </c>
      <c r="AC32" s="39">
        <f t="shared" si="16"/>
        <v>1878868</v>
      </c>
      <c r="AD32" s="13">
        <f t="shared" si="16"/>
        <v>0</v>
      </c>
      <c r="AE32" s="39">
        <f t="shared" si="16"/>
        <v>1878868</v>
      </c>
      <c r="AF32" s="13">
        <f t="shared" si="16"/>
        <v>0</v>
      </c>
      <c r="AG32" s="39">
        <f t="shared" si="16"/>
        <v>2351280</v>
      </c>
      <c r="AH32" s="51">
        <f t="shared" si="16"/>
        <v>0</v>
      </c>
      <c r="AI32" s="39">
        <f t="shared" si="16"/>
        <v>6109016</v>
      </c>
      <c r="AJ32" s="13">
        <f t="shared" si="16"/>
        <v>0</v>
      </c>
      <c r="AK32" s="39">
        <f t="shared" si="16"/>
        <v>6109016</v>
      </c>
      <c r="AL32" s="13">
        <f t="shared" si="16"/>
        <v>0</v>
      </c>
      <c r="AM32" s="39">
        <f>SUM(AM23:AM31)</f>
        <v>15948108</v>
      </c>
      <c r="AN32" s="13">
        <f>SUM(AN23:AN31)</f>
        <v>6614677.0999999996</v>
      </c>
    </row>
    <row r="33" spans="1:40" ht="20.25" customHeight="1" x14ac:dyDescent="0.15">
      <c r="A33" s="25" t="s">
        <v>34</v>
      </c>
      <c r="B33" s="3" t="s">
        <v>35</v>
      </c>
      <c r="C33" s="34"/>
      <c r="D33" s="4"/>
      <c r="E33" s="34"/>
      <c r="F33" s="4"/>
      <c r="G33" s="34"/>
      <c r="H33" s="46">
        <v>2704</v>
      </c>
      <c r="I33" s="151"/>
      <c r="J33" s="117"/>
      <c r="K33" s="34"/>
      <c r="L33" s="4"/>
      <c r="M33" s="34"/>
      <c r="N33" s="4"/>
      <c r="O33" s="34"/>
      <c r="P33" s="46">
        <v>1048</v>
      </c>
      <c r="Q33" s="151"/>
      <c r="R33" s="117"/>
      <c r="S33" s="151"/>
      <c r="T33" s="117"/>
      <c r="U33" s="34"/>
      <c r="V33" s="4"/>
      <c r="W33" s="34"/>
      <c r="X33" s="4"/>
      <c r="Y33" s="34"/>
      <c r="Z33" s="46"/>
      <c r="AA33" s="151"/>
      <c r="AB33" s="117"/>
      <c r="AC33" s="34"/>
      <c r="AD33" s="4"/>
      <c r="AE33" s="34"/>
      <c r="AF33" s="4"/>
      <c r="AG33" s="34"/>
      <c r="AH33" s="46"/>
      <c r="AI33" s="151">
        <f>AC33+AE33+AG33</f>
        <v>0</v>
      </c>
      <c r="AJ33" s="117">
        <f>AD33+AF33+AH33</f>
        <v>0</v>
      </c>
      <c r="AK33" s="151">
        <f t="shared" ref="AK33:AL57" si="17">AA33+AI33</f>
        <v>0</v>
      </c>
      <c r="AL33" s="117">
        <f t="shared" si="17"/>
        <v>0</v>
      </c>
      <c r="AM33" s="151">
        <f t="shared" si="11"/>
        <v>0</v>
      </c>
      <c r="AN33" s="117">
        <f t="shared" si="11"/>
        <v>3752</v>
      </c>
    </row>
    <row r="34" spans="1:40" ht="20.25" customHeight="1" x14ac:dyDescent="0.15">
      <c r="A34" s="23"/>
      <c r="B34" s="5" t="s">
        <v>36</v>
      </c>
      <c r="C34" s="34"/>
      <c r="D34" s="4"/>
      <c r="E34" s="34"/>
      <c r="F34" s="4">
        <v>209388</v>
      </c>
      <c r="G34" s="34">
        <v>10000</v>
      </c>
      <c r="H34" s="46">
        <v>42000</v>
      </c>
      <c r="I34" s="151"/>
      <c r="J34" s="117"/>
      <c r="K34" s="34">
        <v>10000</v>
      </c>
      <c r="L34" s="4">
        <v>6237</v>
      </c>
      <c r="M34" s="34">
        <v>10000</v>
      </c>
      <c r="N34" s="4"/>
      <c r="O34" s="34">
        <v>10000</v>
      </c>
      <c r="P34" s="46">
        <v>13548</v>
      </c>
      <c r="Q34" s="151"/>
      <c r="R34" s="117"/>
      <c r="S34" s="151"/>
      <c r="T34" s="117"/>
      <c r="U34" s="34">
        <v>10000</v>
      </c>
      <c r="V34" s="4"/>
      <c r="W34" s="34">
        <v>10000</v>
      </c>
      <c r="X34" s="4"/>
      <c r="Y34" s="34">
        <v>10000</v>
      </c>
      <c r="Z34" s="46"/>
      <c r="AA34" s="151"/>
      <c r="AB34" s="117"/>
      <c r="AC34" s="34">
        <v>10000</v>
      </c>
      <c r="AD34" s="4"/>
      <c r="AE34" s="34">
        <v>10000</v>
      </c>
      <c r="AF34" s="4"/>
      <c r="AG34" s="34">
        <v>10000</v>
      </c>
      <c r="AH34" s="46"/>
      <c r="AI34" s="151">
        <f t="shared" ref="AI34:AJ57" si="18">AC34+AE34+AG34</f>
        <v>30000</v>
      </c>
      <c r="AJ34" s="117">
        <f t="shared" si="18"/>
        <v>0</v>
      </c>
      <c r="AK34" s="151">
        <f t="shared" si="17"/>
        <v>30000</v>
      </c>
      <c r="AL34" s="117">
        <f t="shared" si="17"/>
        <v>0</v>
      </c>
      <c r="AM34" s="151">
        <f t="shared" si="11"/>
        <v>100000</v>
      </c>
      <c r="AN34" s="117">
        <f t="shared" si="11"/>
        <v>271173</v>
      </c>
    </row>
    <row r="35" spans="1:40" ht="20.25" customHeight="1" x14ac:dyDescent="0.15">
      <c r="A35" s="23"/>
      <c r="B35" s="5" t="s">
        <v>37</v>
      </c>
      <c r="C35" s="34"/>
      <c r="D35" s="4"/>
      <c r="E35" s="34"/>
      <c r="F35" s="4">
        <v>59092</v>
      </c>
      <c r="G35" s="34">
        <v>100000</v>
      </c>
      <c r="H35" s="46">
        <v>59092</v>
      </c>
      <c r="I35" s="151"/>
      <c r="J35" s="117"/>
      <c r="K35" s="34">
        <v>100000</v>
      </c>
      <c r="L35" s="4">
        <v>59092</v>
      </c>
      <c r="M35" s="34">
        <v>100000</v>
      </c>
      <c r="N35" s="4">
        <v>59092</v>
      </c>
      <c r="O35" s="34">
        <v>100000</v>
      </c>
      <c r="P35" s="46">
        <v>59092</v>
      </c>
      <c r="Q35" s="151"/>
      <c r="R35" s="117"/>
      <c r="S35" s="151"/>
      <c r="T35" s="117"/>
      <c r="U35" s="34">
        <v>100000</v>
      </c>
      <c r="V35" s="4">
        <v>59092</v>
      </c>
      <c r="W35" s="34">
        <v>100000</v>
      </c>
      <c r="X35" s="4">
        <v>59092</v>
      </c>
      <c r="Y35" s="34">
        <v>100000</v>
      </c>
      <c r="Z35" s="46"/>
      <c r="AA35" s="151"/>
      <c r="AB35" s="117"/>
      <c r="AC35" s="34">
        <v>100000</v>
      </c>
      <c r="AD35" s="4"/>
      <c r="AE35" s="34">
        <v>100000</v>
      </c>
      <c r="AF35" s="4"/>
      <c r="AG35" s="34">
        <v>100000</v>
      </c>
      <c r="AH35" s="46"/>
      <c r="AI35" s="151">
        <f t="shared" si="18"/>
        <v>300000</v>
      </c>
      <c r="AJ35" s="117">
        <f t="shared" si="18"/>
        <v>0</v>
      </c>
      <c r="AK35" s="151">
        <f t="shared" si="17"/>
        <v>300000</v>
      </c>
      <c r="AL35" s="117">
        <f t="shared" si="17"/>
        <v>0</v>
      </c>
      <c r="AM35" s="151">
        <f t="shared" si="11"/>
        <v>1000000</v>
      </c>
      <c r="AN35" s="117">
        <f t="shared" si="11"/>
        <v>413644</v>
      </c>
    </row>
    <row r="36" spans="1:40" ht="20.25" customHeight="1" x14ac:dyDescent="0.15">
      <c r="A36" s="23"/>
      <c r="B36" s="5" t="s">
        <v>38</v>
      </c>
      <c r="C36" s="34"/>
      <c r="D36" s="4"/>
      <c r="E36" s="34"/>
      <c r="F36" s="4"/>
      <c r="G36" s="34">
        <v>10000</v>
      </c>
      <c r="H36" s="46">
        <v>14519</v>
      </c>
      <c r="I36" s="151"/>
      <c r="J36" s="117"/>
      <c r="K36" s="34">
        <v>10000</v>
      </c>
      <c r="L36" s="4">
        <v>10419</v>
      </c>
      <c r="M36" s="34">
        <v>10000</v>
      </c>
      <c r="N36" s="4">
        <v>10419</v>
      </c>
      <c r="O36" s="34">
        <v>10000</v>
      </c>
      <c r="P36" s="46">
        <v>3100</v>
      </c>
      <c r="Q36" s="151"/>
      <c r="R36" s="117"/>
      <c r="S36" s="151"/>
      <c r="T36" s="117"/>
      <c r="U36" s="34">
        <v>10000</v>
      </c>
      <c r="V36" s="4">
        <v>940</v>
      </c>
      <c r="W36" s="34">
        <v>10000</v>
      </c>
      <c r="X36" s="4">
        <v>3100</v>
      </c>
      <c r="Y36" s="34">
        <v>10000</v>
      </c>
      <c r="Z36" s="46">
        <v>460</v>
      </c>
      <c r="AA36" s="151"/>
      <c r="AB36" s="117"/>
      <c r="AC36" s="34">
        <v>10000</v>
      </c>
      <c r="AD36" s="4"/>
      <c r="AE36" s="34">
        <v>10000</v>
      </c>
      <c r="AF36" s="4"/>
      <c r="AG36" s="34">
        <v>10000</v>
      </c>
      <c r="AH36" s="46"/>
      <c r="AI36" s="151">
        <f t="shared" si="18"/>
        <v>30000</v>
      </c>
      <c r="AJ36" s="117">
        <f t="shared" si="18"/>
        <v>0</v>
      </c>
      <c r="AK36" s="151">
        <f t="shared" si="17"/>
        <v>30000</v>
      </c>
      <c r="AL36" s="117">
        <f t="shared" si="17"/>
        <v>0</v>
      </c>
      <c r="AM36" s="151">
        <f t="shared" si="11"/>
        <v>100000</v>
      </c>
      <c r="AN36" s="117">
        <f t="shared" si="11"/>
        <v>42957</v>
      </c>
    </row>
    <row r="37" spans="1:40" ht="20.25" customHeight="1" x14ac:dyDescent="0.15">
      <c r="A37" s="23"/>
      <c r="B37" s="5" t="s">
        <v>39</v>
      </c>
      <c r="C37" s="34"/>
      <c r="D37" s="4"/>
      <c r="E37" s="34"/>
      <c r="F37" s="4"/>
      <c r="G37" s="34"/>
      <c r="H37" s="46"/>
      <c r="I37" s="151"/>
      <c r="J37" s="117"/>
      <c r="K37" s="34"/>
      <c r="L37" s="4"/>
      <c r="M37" s="34"/>
      <c r="N37" s="4"/>
      <c r="O37" s="34"/>
      <c r="P37" s="46"/>
      <c r="Q37" s="151"/>
      <c r="R37" s="117"/>
      <c r="S37" s="151"/>
      <c r="T37" s="117"/>
      <c r="U37" s="34"/>
      <c r="V37" s="4"/>
      <c r="W37" s="34"/>
      <c r="X37" s="4"/>
      <c r="Y37" s="34"/>
      <c r="Z37" s="46"/>
      <c r="AA37" s="151"/>
      <c r="AB37" s="117"/>
      <c r="AC37" s="34"/>
      <c r="AD37" s="4"/>
      <c r="AE37" s="34"/>
      <c r="AF37" s="4"/>
      <c r="AG37" s="34"/>
      <c r="AH37" s="46"/>
      <c r="AI37" s="151">
        <f t="shared" si="18"/>
        <v>0</v>
      </c>
      <c r="AJ37" s="117">
        <f t="shared" si="18"/>
        <v>0</v>
      </c>
      <c r="AK37" s="151">
        <f t="shared" si="17"/>
        <v>0</v>
      </c>
      <c r="AL37" s="117">
        <f t="shared" si="17"/>
        <v>0</v>
      </c>
      <c r="AM37" s="151">
        <f t="shared" si="11"/>
        <v>0</v>
      </c>
      <c r="AN37" s="117">
        <f t="shared" si="11"/>
        <v>0</v>
      </c>
    </row>
    <row r="38" spans="1:40" ht="20.25" customHeight="1" x14ac:dyDescent="0.15">
      <c r="A38" s="23"/>
      <c r="B38" s="5" t="s">
        <v>40</v>
      </c>
      <c r="C38" s="34"/>
      <c r="D38" s="4"/>
      <c r="E38" s="34"/>
      <c r="F38" s="4"/>
      <c r="G38" s="34"/>
      <c r="H38" s="46"/>
      <c r="I38" s="151"/>
      <c r="J38" s="117"/>
      <c r="K38" s="34"/>
      <c r="L38" s="4"/>
      <c r="M38" s="34"/>
      <c r="N38" s="4"/>
      <c r="O38" s="34"/>
      <c r="P38" s="46"/>
      <c r="Q38" s="151"/>
      <c r="R38" s="117"/>
      <c r="S38" s="151"/>
      <c r="T38" s="117"/>
      <c r="U38" s="34"/>
      <c r="V38" s="4"/>
      <c r="W38" s="34"/>
      <c r="X38" s="4"/>
      <c r="Y38" s="34"/>
      <c r="Z38" s="46"/>
      <c r="AA38" s="151"/>
      <c r="AB38" s="117"/>
      <c r="AC38" s="34"/>
      <c r="AD38" s="4"/>
      <c r="AE38" s="34"/>
      <c r="AF38" s="4"/>
      <c r="AG38" s="34"/>
      <c r="AH38" s="46"/>
      <c r="AI38" s="151">
        <f t="shared" si="18"/>
        <v>0</v>
      </c>
      <c r="AJ38" s="117">
        <f t="shared" si="18"/>
        <v>0</v>
      </c>
      <c r="AK38" s="151">
        <f t="shared" si="17"/>
        <v>0</v>
      </c>
      <c r="AL38" s="117">
        <f t="shared" si="17"/>
        <v>0</v>
      </c>
      <c r="AM38" s="151">
        <f t="shared" si="11"/>
        <v>0</v>
      </c>
      <c r="AN38" s="117">
        <f t="shared" si="11"/>
        <v>0</v>
      </c>
    </row>
    <row r="39" spans="1:40" ht="20.25" customHeight="1" x14ac:dyDescent="0.15">
      <c r="A39" s="23"/>
      <c r="B39" s="5" t="s">
        <v>41</v>
      </c>
      <c r="C39" s="34"/>
      <c r="D39" s="4"/>
      <c r="E39" s="34"/>
      <c r="F39" s="4"/>
      <c r="G39" s="34"/>
      <c r="H39" s="46"/>
      <c r="I39" s="151"/>
      <c r="J39" s="117"/>
      <c r="K39" s="34"/>
      <c r="L39" s="4"/>
      <c r="M39" s="34"/>
      <c r="N39" s="4"/>
      <c r="O39" s="34"/>
      <c r="P39" s="46"/>
      <c r="Q39" s="151"/>
      <c r="R39" s="117"/>
      <c r="S39" s="151"/>
      <c r="T39" s="117"/>
      <c r="U39" s="34"/>
      <c r="V39" s="4"/>
      <c r="W39" s="34"/>
      <c r="X39" s="4"/>
      <c r="Y39" s="34"/>
      <c r="Z39" s="46"/>
      <c r="AA39" s="151"/>
      <c r="AB39" s="117"/>
      <c r="AC39" s="34"/>
      <c r="AD39" s="4"/>
      <c r="AE39" s="34"/>
      <c r="AF39" s="4"/>
      <c r="AG39" s="34"/>
      <c r="AH39" s="46"/>
      <c r="AI39" s="151">
        <f t="shared" si="18"/>
        <v>0</v>
      </c>
      <c r="AJ39" s="117">
        <f t="shared" si="18"/>
        <v>0</v>
      </c>
      <c r="AK39" s="151">
        <f t="shared" si="17"/>
        <v>0</v>
      </c>
      <c r="AL39" s="117">
        <f t="shared" si="17"/>
        <v>0</v>
      </c>
      <c r="AM39" s="151">
        <f t="shared" ref="AM39:AN57" si="19">SUM(C39,E39,G39,K39,M39,O39,U39,W39,Y39,AC39,AE39,AG39)</f>
        <v>0</v>
      </c>
      <c r="AN39" s="117">
        <f t="shared" si="19"/>
        <v>0</v>
      </c>
    </row>
    <row r="40" spans="1:40" ht="20.25" customHeight="1" x14ac:dyDescent="0.15">
      <c r="A40" s="23"/>
      <c r="B40" s="5" t="s">
        <v>42</v>
      </c>
      <c r="C40" s="34"/>
      <c r="D40" s="4"/>
      <c r="E40" s="34"/>
      <c r="F40" s="4"/>
      <c r="G40" s="34"/>
      <c r="H40" s="46"/>
      <c r="I40" s="151"/>
      <c r="J40" s="117"/>
      <c r="K40" s="34"/>
      <c r="L40" s="4"/>
      <c r="M40" s="34"/>
      <c r="N40" s="4"/>
      <c r="O40" s="34"/>
      <c r="P40" s="46"/>
      <c r="Q40" s="151"/>
      <c r="R40" s="117"/>
      <c r="S40" s="151"/>
      <c r="T40" s="117"/>
      <c r="U40" s="34"/>
      <c r="V40" s="4"/>
      <c r="W40" s="34"/>
      <c r="X40" s="4"/>
      <c r="Y40" s="34"/>
      <c r="Z40" s="46"/>
      <c r="AA40" s="151"/>
      <c r="AB40" s="117"/>
      <c r="AC40" s="34"/>
      <c r="AD40" s="4"/>
      <c r="AE40" s="34"/>
      <c r="AF40" s="4"/>
      <c r="AG40" s="34"/>
      <c r="AH40" s="46"/>
      <c r="AI40" s="151">
        <f t="shared" si="18"/>
        <v>0</v>
      </c>
      <c r="AJ40" s="117">
        <f t="shared" si="18"/>
        <v>0</v>
      </c>
      <c r="AK40" s="151">
        <f t="shared" si="17"/>
        <v>0</v>
      </c>
      <c r="AL40" s="117">
        <f t="shared" si="17"/>
        <v>0</v>
      </c>
      <c r="AM40" s="151">
        <f t="shared" si="19"/>
        <v>0</v>
      </c>
      <c r="AN40" s="117">
        <f t="shared" si="19"/>
        <v>0</v>
      </c>
    </row>
    <row r="41" spans="1:40" ht="20.25" customHeight="1" x14ac:dyDescent="0.15">
      <c r="A41" s="23"/>
      <c r="B41" s="5" t="s">
        <v>43</v>
      </c>
      <c r="C41" s="34"/>
      <c r="D41" s="4"/>
      <c r="E41" s="34"/>
      <c r="F41" s="4"/>
      <c r="G41" s="34"/>
      <c r="H41" s="46"/>
      <c r="I41" s="151"/>
      <c r="J41" s="117"/>
      <c r="K41" s="34"/>
      <c r="L41" s="4">
        <v>2277</v>
      </c>
      <c r="M41" s="34"/>
      <c r="N41" s="4"/>
      <c r="O41" s="34"/>
      <c r="P41" s="46"/>
      <c r="Q41" s="151"/>
      <c r="R41" s="117"/>
      <c r="S41" s="151"/>
      <c r="T41" s="117"/>
      <c r="U41" s="34"/>
      <c r="V41" s="4"/>
      <c r="W41" s="34"/>
      <c r="X41" s="4"/>
      <c r="Y41" s="34"/>
      <c r="Z41" s="46"/>
      <c r="AA41" s="151"/>
      <c r="AB41" s="117"/>
      <c r="AC41" s="34"/>
      <c r="AD41" s="4"/>
      <c r="AE41" s="34"/>
      <c r="AF41" s="4"/>
      <c r="AG41" s="34"/>
      <c r="AH41" s="46"/>
      <c r="AI41" s="151">
        <f t="shared" si="18"/>
        <v>0</v>
      </c>
      <c r="AJ41" s="117">
        <f t="shared" si="18"/>
        <v>0</v>
      </c>
      <c r="AK41" s="151">
        <f t="shared" si="17"/>
        <v>0</v>
      </c>
      <c r="AL41" s="117">
        <f t="shared" si="17"/>
        <v>0</v>
      </c>
      <c r="AM41" s="151">
        <f t="shared" si="19"/>
        <v>0</v>
      </c>
      <c r="AN41" s="117">
        <f t="shared" si="19"/>
        <v>2277</v>
      </c>
    </row>
    <row r="42" spans="1:40" ht="20.25" customHeight="1" x14ac:dyDescent="0.15">
      <c r="A42" s="23"/>
      <c r="B42" s="5" t="s">
        <v>44</v>
      </c>
      <c r="C42" s="34"/>
      <c r="D42" s="4"/>
      <c r="E42" s="34"/>
      <c r="F42" s="4"/>
      <c r="G42" s="34"/>
      <c r="H42" s="46"/>
      <c r="I42" s="151"/>
      <c r="J42" s="117"/>
      <c r="K42" s="34"/>
      <c r="L42" s="4"/>
      <c r="M42" s="34"/>
      <c r="N42" s="4"/>
      <c r="O42" s="34"/>
      <c r="P42" s="46"/>
      <c r="Q42" s="151"/>
      <c r="R42" s="117"/>
      <c r="S42" s="151"/>
      <c r="T42" s="117"/>
      <c r="U42" s="34"/>
      <c r="V42" s="4"/>
      <c r="W42" s="34"/>
      <c r="X42" s="4"/>
      <c r="Y42" s="34"/>
      <c r="Z42" s="46"/>
      <c r="AA42" s="151"/>
      <c r="AB42" s="117"/>
      <c r="AC42" s="34"/>
      <c r="AD42" s="4"/>
      <c r="AE42" s="34"/>
      <c r="AF42" s="4"/>
      <c r="AG42" s="34"/>
      <c r="AH42" s="46"/>
      <c r="AI42" s="151">
        <f t="shared" si="18"/>
        <v>0</v>
      </c>
      <c r="AJ42" s="117">
        <f t="shared" si="18"/>
        <v>0</v>
      </c>
      <c r="AK42" s="151">
        <f t="shared" si="17"/>
        <v>0</v>
      </c>
      <c r="AL42" s="117">
        <f t="shared" si="17"/>
        <v>0</v>
      </c>
      <c r="AM42" s="151">
        <f t="shared" si="19"/>
        <v>0</v>
      </c>
      <c r="AN42" s="117">
        <f t="shared" si="19"/>
        <v>0</v>
      </c>
    </row>
    <row r="43" spans="1:40" ht="20.25" customHeight="1" x14ac:dyDescent="0.15">
      <c r="A43" s="23"/>
      <c r="B43" s="5" t="s">
        <v>45</v>
      </c>
      <c r="C43" s="34"/>
      <c r="D43" s="4"/>
      <c r="E43" s="34"/>
      <c r="F43" s="4">
        <v>17856</v>
      </c>
      <c r="G43" s="34">
        <v>80000</v>
      </c>
      <c r="H43" s="46">
        <v>6400</v>
      </c>
      <c r="I43" s="151"/>
      <c r="J43" s="117"/>
      <c r="K43" s="34">
        <v>80000</v>
      </c>
      <c r="L43" s="4">
        <v>23537</v>
      </c>
      <c r="M43" s="34">
        <v>80000</v>
      </c>
      <c r="N43" s="4"/>
      <c r="O43" s="34">
        <v>80000</v>
      </c>
      <c r="P43" s="46">
        <v>25792</v>
      </c>
      <c r="Q43" s="151"/>
      <c r="R43" s="117"/>
      <c r="S43" s="151"/>
      <c r="T43" s="117"/>
      <c r="U43" s="34">
        <v>80000</v>
      </c>
      <c r="V43" s="4"/>
      <c r="W43" s="34">
        <v>80000</v>
      </c>
      <c r="X43" s="4"/>
      <c r="Y43" s="34">
        <v>120000</v>
      </c>
      <c r="Z43" s="46"/>
      <c r="AA43" s="151"/>
      <c r="AB43" s="117"/>
      <c r="AC43" s="34">
        <v>120000</v>
      </c>
      <c r="AD43" s="4"/>
      <c r="AE43" s="34">
        <v>120000</v>
      </c>
      <c r="AF43" s="4"/>
      <c r="AG43" s="34">
        <v>160000</v>
      </c>
      <c r="AH43" s="46"/>
      <c r="AI43" s="151">
        <f t="shared" si="18"/>
        <v>400000</v>
      </c>
      <c r="AJ43" s="117">
        <f t="shared" si="18"/>
        <v>0</v>
      </c>
      <c r="AK43" s="151">
        <f t="shared" si="17"/>
        <v>400000</v>
      </c>
      <c r="AL43" s="117">
        <f t="shared" si="17"/>
        <v>0</v>
      </c>
      <c r="AM43" s="151">
        <f t="shared" si="19"/>
        <v>1000000</v>
      </c>
      <c r="AN43" s="117">
        <f t="shared" si="19"/>
        <v>73585</v>
      </c>
    </row>
    <row r="44" spans="1:40" ht="20.25" customHeight="1" x14ac:dyDescent="0.15">
      <c r="A44" s="23"/>
      <c r="B44" s="5" t="s">
        <v>46</v>
      </c>
      <c r="C44" s="34"/>
      <c r="D44" s="4"/>
      <c r="E44" s="34"/>
      <c r="F44" s="4">
        <v>319</v>
      </c>
      <c r="G44" s="34">
        <v>14000</v>
      </c>
      <c r="H44" s="46">
        <v>30548</v>
      </c>
      <c r="I44" s="151"/>
      <c r="J44" s="117"/>
      <c r="K44" s="34">
        <v>14000</v>
      </c>
      <c r="L44" s="4">
        <f>91+31660</f>
        <v>31751</v>
      </c>
      <c r="M44" s="34">
        <v>14000</v>
      </c>
      <c r="N44" s="4">
        <v>31711</v>
      </c>
      <c r="O44" s="34">
        <v>17500</v>
      </c>
      <c r="P44" s="46">
        <v>72971</v>
      </c>
      <c r="Q44" s="151"/>
      <c r="R44" s="117"/>
      <c r="S44" s="151"/>
      <c r="T44" s="117"/>
      <c r="U44" s="34">
        <v>17500</v>
      </c>
      <c r="V44" s="4">
        <v>14048</v>
      </c>
      <c r="W44" s="34">
        <v>17500</v>
      </c>
      <c r="X44" s="4">
        <v>12471</v>
      </c>
      <c r="Y44" s="34">
        <v>24500</v>
      </c>
      <c r="Z44" s="46">
        <v>10689</v>
      </c>
      <c r="AA44" s="151"/>
      <c r="AB44" s="117"/>
      <c r="AC44" s="34">
        <v>24500</v>
      </c>
      <c r="AD44" s="4"/>
      <c r="AE44" s="34">
        <v>24500</v>
      </c>
      <c r="AF44" s="4"/>
      <c r="AG44" s="34">
        <v>31500</v>
      </c>
      <c r="AH44" s="46"/>
      <c r="AI44" s="151">
        <f t="shared" si="18"/>
        <v>80500</v>
      </c>
      <c r="AJ44" s="117">
        <f t="shared" si="18"/>
        <v>0</v>
      </c>
      <c r="AK44" s="151">
        <f t="shared" si="17"/>
        <v>80500</v>
      </c>
      <c r="AL44" s="117">
        <f t="shared" si="17"/>
        <v>0</v>
      </c>
      <c r="AM44" s="151">
        <f t="shared" si="19"/>
        <v>199500</v>
      </c>
      <c r="AN44" s="117">
        <f t="shared" si="19"/>
        <v>204508</v>
      </c>
    </row>
    <row r="45" spans="1:40" ht="20.25" customHeight="1" x14ac:dyDescent="0.15">
      <c r="A45" s="23"/>
      <c r="B45" s="5" t="s">
        <v>47</v>
      </c>
      <c r="C45" s="34"/>
      <c r="D45" s="4"/>
      <c r="E45" s="34"/>
      <c r="F45" s="4">
        <v>3637</v>
      </c>
      <c r="G45" s="34">
        <v>20000</v>
      </c>
      <c r="H45" s="46">
        <v>3637</v>
      </c>
      <c r="I45" s="151"/>
      <c r="J45" s="117"/>
      <c r="K45" s="34">
        <v>20000</v>
      </c>
      <c r="L45" s="4">
        <v>3637</v>
      </c>
      <c r="M45" s="34">
        <v>20000</v>
      </c>
      <c r="N45" s="4">
        <v>3637</v>
      </c>
      <c r="O45" s="34">
        <v>20000</v>
      </c>
      <c r="P45" s="46">
        <v>3637</v>
      </c>
      <c r="Q45" s="151"/>
      <c r="R45" s="117"/>
      <c r="S45" s="151"/>
      <c r="T45" s="117"/>
      <c r="U45" s="34">
        <v>20000</v>
      </c>
      <c r="V45" s="4">
        <v>3637</v>
      </c>
      <c r="W45" s="34">
        <v>20000</v>
      </c>
      <c r="X45" s="4">
        <v>3637</v>
      </c>
      <c r="Y45" s="34">
        <v>20000</v>
      </c>
      <c r="Z45" s="46"/>
      <c r="AA45" s="151"/>
      <c r="AB45" s="117"/>
      <c r="AC45" s="34">
        <v>20000</v>
      </c>
      <c r="AD45" s="4"/>
      <c r="AE45" s="34">
        <v>20000</v>
      </c>
      <c r="AF45" s="4"/>
      <c r="AG45" s="34">
        <v>20000</v>
      </c>
      <c r="AH45" s="46"/>
      <c r="AI45" s="151">
        <f t="shared" si="18"/>
        <v>60000</v>
      </c>
      <c r="AJ45" s="117">
        <f t="shared" si="18"/>
        <v>0</v>
      </c>
      <c r="AK45" s="151">
        <f t="shared" si="17"/>
        <v>60000</v>
      </c>
      <c r="AL45" s="117">
        <f t="shared" si="17"/>
        <v>0</v>
      </c>
      <c r="AM45" s="151">
        <f t="shared" si="19"/>
        <v>200000</v>
      </c>
      <c r="AN45" s="117">
        <f t="shared" si="19"/>
        <v>25459</v>
      </c>
    </row>
    <row r="46" spans="1:40" ht="20.25" customHeight="1" x14ac:dyDescent="0.15">
      <c r="A46" s="23"/>
      <c r="B46" s="5" t="s">
        <v>48</v>
      </c>
      <c r="C46" s="34"/>
      <c r="D46" s="4"/>
      <c r="E46" s="34"/>
      <c r="F46" s="4">
        <v>25800</v>
      </c>
      <c r="G46" s="34"/>
      <c r="H46" s="46">
        <v>15000</v>
      </c>
      <c r="I46" s="151"/>
      <c r="J46" s="117"/>
      <c r="K46" s="34"/>
      <c r="L46" s="4">
        <v>15000</v>
      </c>
      <c r="M46" s="34"/>
      <c r="N46" s="4">
        <v>372191</v>
      </c>
      <c r="O46" s="34"/>
      <c r="P46" s="46">
        <v>15000</v>
      </c>
      <c r="Q46" s="151"/>
      <c r="R46" s="117"/>
      <c r="S46" s="151"/>
      <c r="T46" s="117"/>
      <c r="U46" s="34"/>
      <c r="V46" s="4">
        <v>45000</v>
      </c>
      <c r="W46" s="34"/>
      <c r="X46" s="4"/>
      <c r="Y46" s="34"/>
      <c r="Z46" s="46"/>
      <c r="AA46" s="151"/>
      <c r="AB46" s="117"/>
      <c r="AC46" s="34"/>
      <c r="AD46" s="4"/>
      <c r="AE46" s="34"/>
      <c r="AF46" s="4"/>
      <c r="AG46" s="34"/>
      <c r="AH46" s="46"/>
      <c r="AI46" s="151">
        <f t="shared" si="18"/>
        <v>0</v>
      </c>
      <c r="AJ46" s="117">
        <f t="shared" si="18"/>
        <v>0</v>
      </c>
      <c r="AK46" s="151">
        <f t="shared" si="17"/>
        <v>0</v>
      </c>
      <c r="AL46" s="117">
        <f t="shared" si="17"/>
        <v>0</v>
      </c>
      <c r="AM46" s="151">
        <f t="shared" si="19"/>
        <v>0</v>
      </c>
      <c r="AN46" s="117">
        <f t="shared" si="19"/>
        <v>487991</v>
      </c>
    </row>
    <row r="47" spans="1:40" ht="20.25" customHeight="1" x14ac:dyDescent="0.15">
      <c r="A47" s="23"/>
      <c r="B47" s="5" t="s">
        <v>49</v>
      </c>
      <c r="C47" s="34"/>
      <c r="D47" s="4"/>
      <c r="E47" s="34"/>
      <c r="F47" s="4">
        <v>14546</v>
      </c>
      <c r="G47" s="34"/>
      <c r="H47" s="46"/>
      <c r="I47" s="151"/>
      <c r="J47" s="117"/>
      <c r="K47" s="34"/>
      <c r="L47" s="4"/>
      <c r="M47" s="34"/>
      <c r="N47" s="4"/>
      <c r="O47" s="34"/>
      <c r="P47" s="46"/>
      <c r="Q47" s="151"/>
      <c r="R47" s="117"/>
      <c r="S47" s="151"/>
      <c r="T47" s="117"/>
      <c r="U47" s="34"/>
      <c r="V47" s="4"/>
      <c r="W47" s="34"/>
      <c r="X47" s="4"/>
      <c r="Y47" s="34"/>
      <c r="Z47" s="46"/>
      <c r="AA47" s="151"/>
      <c r="AB47" s="117"/>
      <c r="AC47" s="34"/>
      <c r="AD47" s="4"/>
      <c r="AE47" s="34"/>
      <c r="AF47" s="4"/>
      <c r="AG47" s="34"/>
      <c r="AH47" s="46"/>
      <c r="AI47" s="151">
        <f t="shared" si="18"/>
        <v>0</v>
      </c>
      <c r="AJ47" s="117">
        <f t="shared" si="18"/>
        <v>0</v>
      </c>
      <c r="AK47" s="151">
        <f t="shared" si="17"/>
        <v>0</v>
      </c>
      <c r="AL47" s="117">
        <f t="shared" si="17"/>
        <v>0</v>
      </c>
      <c r="AM47" s="151">
        <f t="shared" si="19"/>
        <v>0</v>
      </c>
      <c r="AN47" s="117">
        <f t="shared" si="19"/>
        <v>14546</v>
      </c>
    </row>
    <row r="48" spans="1:40" ht="20.25" customHeight="1" x14ac:dyDescent="0.15">
      <c r="A48" s="23"/>
      <c r="B48" s="5" t="s">
        <v>50</v>
      </c>
      <c r="C48" s="34"/>
      <c r="D48" s="4"/>
      <c r="E48" s="34"/>
      <c r="F48" s="4">
        <v>1606</v>
      </c>
      <c r="G48" s="34"/>
      <c r="H48" s="46">
        <v>940</v>
      </c>
      <c r="I48" s="151"/>
      <c r="J48" s="117"/>
      <c r="K48" s="34"/>
      <c r="L48" s="4"/>
      <c r="M48" s="34"/>
      <c r="N48" s="4">
        <v>940</v>
      </c>
      <c r="O48" s="34"/>
      <c r="P48" s="46"/>
      <c r="Q48" s="151"/>
      <c r="R48" s="117"/>
      <c r="S48" s="151"/>
      <c r="T48" s="117"/>
      <c r="U48" s="34"/>
      <c r="V48" s="4"/>
      <c r="W48" s="34"/>
      <c r="X48" s="4"/>
      <c r="Y48" s="34"/>
      <c r="Z48" s="46"/>
      <c r="AA48" s="151"/>
      <c r="AB48" s="117"/>
      <c r="AC48" s="34"/>
      <c r="AD48" s="4"/>
      <c r="AE48" s="34"/>
      <c r="AF48" s="4"/>
      <c r="AG48" s="34"/>
      <c r="AH48" s="46"/>
      <c r="AI48" s="151">
        <f t="shared" si="18"/>
        <v>0</v>
      </c>
      <c r="AJ48" s="117">
        <f t="shared" si="18"/>
        <v>0</v>
      </c>
      <c r="AK48" s="151">
        <f t="shared" si="17"/>
        <v>0</v>
      </c>
      <c r="AL48" s="117">
        <f t="shared" si="17"/>
        <v>0</v>
      </c>
      <c r="AM48" s="151">
        <f t="shared" si="19"/>
        <v>0</v>
      </c>
      <c r="AN48" s="117">
        <f t="shared" si="19"/>
        <v>3486</v>
      </c>
    </row>
    <row r="49" spans="1:40" ht="20.25" customHeight="1" x14ac:dyDescent="0.15">
      <c r="A49" s="23"/>
      <c r="B49" s="5" t="s">
        <v>51</v>
      </c>
      <c r="C49" s="34"/>
      <c r="D49" s="4"/>
      <c r="E49" s="34"/>
      <c r="F49" s="4"/>
      <c r="G49" s="34">
        <v>113925</v>
      </c>
      <c r="H49" s="46">
        <v>2600</v>
      </c>
      <c r="I49" s="151"/>
      <c r="J49" s="117"/>
      <c r="K49" s="34">
        <v>113925</v>
      </c>
      <c r="L49" s="4">
        <v>149500</v>
      </c>
      <c r="M49" s="34">
        <v>113925</v>
      </c>
      <c r="N49" s="4">
        <f>2600+8000</f>
        <v>10600</v>
      </c>
      <c r="O49" s="34">
        <v>151899</v>
      </c>
      <c r="P49" s="46">
        <v>174000</v>
      </c>
      <c r="Q49" s="151"/>
      <c r="R49" s="117"/>
      <c r="S49" s="151"/>
      <c r="T49" s="117"/>
      <c r="U49" s="34">
        <v>151899</v>
      </c>
      <c r="V49" s="4"/>
      <c r="W49" s="34">
        <v>151899</v>
      </c>
      <c r="X49" s="4"/>
      <c r="Y49" s="34">
        <v>227849</v>
      </c>
      <c r="Z49" s="46"/>
      <c r="AA49" s="151"/>
      <c r="AB49" s="117"/>
      <c r="AC49" s="34">
        <v>227849</v>
      </c>
      <c r="AD49" s="4"/>
      <c r="AE49" s="34">
        <v>227849</v>
      </c>
      <c r="AF49" s="4"/>
      <c r="AG49" s="34">
        <v>303799</v>
      </c>
      <c r="AH49" s="46"/>
      <c r="AI49" s="151">
        <f t="shared" si="18"/>
        <v>759497</v>
      </c>
      <c r="AJ49" s="117">
        <f t="shared" si="18"/>
        <v>0</v>
      </c>
      <c r="AK49" s="151">
        <f t="shared" si="17"/>
        <v>759497</v>
      </c>
      <c r="AL49" s="117">
        <f t="shared" si="17"/>
        <v>0</v>
      </c>
      <c r="AM49" s="151">
        <f>SUM(C49,E49,G49,K49,M49,O49,U49,W49,Y49,AC49,AE49,AG49)</f>
        <v>1784818</v>
      </c>
      <c r="AN49" s="117">
        <f t="shared" si="19"/>
        <v>336700</v>
      </c>
    </row>
    <row r="50" spans="1:40" ht="20.25" customHeight="1" x14ac:dyDescent="0.15">
      <c r="A50" s="23"/>
      <c r="B50" s="5" t="s">
        <v>52</v>
      </c>
      <c r="C50" s="34"/>
      <c r="D50" s="4"/>
      <c r="E50" s="34"/>
      <c r="F50" s="4">
        <v>4000</v>
      </c>
      <c r="G50" s="34"/>
      <c r="H50" s="46"/>
      <c r="I50" s="151"/>
      <c r="J50" s="117"/>
      <c r="K50" s="34"/>
      <c r="L50" s="4"/>
      <c r="M50" s="34"/>
      <c r="N50" s="4"/>
      <c r="O50" s="34"/>
      <c r="P50" s="46"/>
      <c r="Q50" s="151"/>
      <c r="R50" s="117"/>
      <c r="S50" s="151"/>
      <c r="T50" s="117"/>
      <c r="U50" s="34"/>
      <c r="V50" s="4"/>
      <c r="W50" s="34"/>
      <c r="X50" s="4"/>
      <c r="Y50" s="34"/>
      <c r="Z50" s="46"/>
      <c r="AA50" s="151"/>
      <c r="AB50" s="117"/>
      <c r="AC50" s="34"/>
      <c r="AD50" s="4"/>
      <c r="AE50" s="34"/>
      <c r="AF50" s="4"/>
      <c r="AG50" s="34"/>
      <c r="AH50" s="46"/>
      <c r="AI50" s="151">
        <f t="shared" si="18"/>
        <v>0</v>
      </c>
      <c r="AJ50" s="117">
        <f t="shared" si="18"/>
        <v>0</v>
      </c>
      <c r="AK50" s="151">
        <f t="shared" si="17"/>
        <v>0</v>
      </c>
      <c r="AL50" s="117">
        <f t="shared" si="17"/>
        <v>0</v>
      </c>
      <c r="AM50" s="151">
        <f t="shared" si="19"/>
        <v>0</v>
      </c>
      <c r="AN50" s="117">
        <f t="shared" si="19"/>
        <v>4000</v>
      </c>
    </row>
    <row r="51" spans="1:40" ht="20.25" customHeight="1" x14ac:dyDescent="0.15">
      <c r="A51" s="23"/>
      <c r="B51" s="5" t="s">
        <v>191</v>
      </c>
      <c r="C51" s="34"/>
      <c r="D51" s="4"/>
      <c r="E51" s="34"/>
      <c r="F51" s="4"/>
      <c r="G51" s="34"/>
      <c r="H51" s="46"/>
      <c r="I51" s="151"/>
      <c r="J51" s="117"/>
      <c r="K51" s="34"/>
      <c r="L51" s="4"/>
      <c r="M51" s="34"/>
      <c r="N51" s="4"/>
      <c r="O51" s="34"/>
      <c r="P51" s="46"/>
      <c r="Q51" s="151">
        <f t="shared" ref="Q51:R57" si="20">K51+M51+O51</f>
        <v>0</v>
      </c>
      <c r="R51" s="117">
        <f t="shared" si="20"/>
        <v>0</v>
      </c>
      <c r="S51" s="151">
        <f t="shared" ref="S51:T57" si="21">I51+Q51</f>
        <v>0</v>
      </c>
      <c r="T51" s="117">
        <f t="shared" si="21"/>
        <v>0</v>
      </c>
      <c r="U51" s="34"/>
      <c r="V51" s="4"/>
      <c r="W51" s="34"/>
      <c r="X51" s="4"/>
      <c r="Y51" s="34"/>
      <c r="Z51" s="46"/>
      <c r="AA51" s="151"/>
      <c r="AB51" s="117"/>
      <c r="AC51" s="34"/>
      <c r="AD51" s="4"/>
      <c r="AE51" s="34"/>
      <c r="AF51" s="4"/>
      <c r="AG51" s="34"/>
      <c r="AH51" s="46"/>
      <c r="AI51" s="151">
        <f t="shared" si="18"/>
        <v>0</v>
      </c>
      <c r="AJ51" s="117">
        <f t="shared" si="18"/>
        <v>0</v>
      </c>
      <c r="AK51" s="151">
        <f t="shared" si="17"/>
        <v>0</v>
      </c>
      <c r="AL51" s="117">
        <f t="shared" si="17"/>
        <v>0</v>
      </c>
      <c r="AM51" s="151">
        <f t="shared" si="19"/>
        <v>0</v>
      </c>
      <c r="AN51" s="117">
        <f t="shared" si="19"/>
        <v>0</v>
      </c>
    </row>
    <row r="52" spans="1:40" ht="20.25" customHeight="1" x14ac:dyDescent="0.15">
      <c r="A52" s="23"/>
      <c r="B52" s="5" t="s">
        <v>54</v>
      </c>
      <c r="C52" s="34"/>
      <c r="D52" s="4"/>
      <c r="E52" s="34"/>
      <c r="F52" s="4"/>
      <c r="G52" s="34"/>
      <c r="H52" s="46"/>
      <c r="I52" s="151">
        <f t="shared" ref="I52:J57" si="22">C52+E52+G52</f>
        <v>0</v>
      </c>
      <c r="J52" s="117">
        <f t="shared" si="22"/>
        <v>0</v>
      </c>
      <c r="K52" s="34"/>
      <c r="L52" s="4"/>
      <c r="M52" s="34"/>
      <c r="N52" s="4"/>
      <c r="O52" s="34"/>
      <c r="P52" s="46"/>
      <c r="Q52" s="151">
        <f t="shared" si="20"/>
        <v>0</v>
      </c>
      <c r="R52" s="117">
        <f t="shared" si="20"/>
        <v>0</v>
      </c>
      <c r="S52" s="151">
        <f t="shared" si="21"/>
        <v>0</v>
      </c>
      <c r="T52" s="117">
        <f t="shared" si="21"/>
        <v>0</v>
      </c>
      <c r="U52" s="34"/>
      <c r="V52" s="4"/>
      <c r="W52" s="34"/>
      <c r="X52" s="4"/>
      <c r="Y52" s="34"/>
      <c r="Z52" s="46"/>
      <c r="AA52" s="151">
        <f t="shared" ref="AA52:AB57" si="23">U52+W52+Y52</f>
        <v>0</v>
      </c>
      <c r="AB52" s="117">
        <f t="shared" si="23"/>
        <v>0</v>
      </c>
      <c r="AC52" s="34"/>
      <c r="AD52" s="4"/>
      <c r="AE52" s="34"/>
      <c r="AF52" s="4"/>
      <c r="AG52" s="34"/>
      <c r="AH52" s="46"/>
      <c r="AI52" s="151">
        <f t="shared" si="18"/>
        <v>0</v>
      </c>
      <c r="AJ52" s="117">
        <f t="shared" si="18"/>
        <v>0</v>
      </c>
      <c r="AK52" s="151">
        <f t="shared" si="17"/>
        <v>0</v>
      </c>
      <c r="AL52" s="117">
        <f t="shared" si="17"/>
        <v>0</v>
      </c>
      <c r="AM52" s="151">
        <f t="shared" si="19"/>
        <v>0</v>
      </c>
      <c r="AN52" s="117">
        <f t="shared" si="19"/>
        <v>0</v>
      </c>
    </row>
    <row r="53" spans="1:40" ht="20.25" customHeight="1" x14ac:dyDescent="0.15">
      <c r="A53" s="23"/>
      <c r="B53" s="5" t="s">
        <v>190</v>
      </c>
      <c r="C53" s="34"/>
      <c r="D53" s="4"/>
      <c r="E53" s="34"/>
      <c r="F53" s="4"/>
      <c r="G53" s="34"/>
      <c r="H53" s="46"/>
      <c r="I53" s="151">
        <f t="shared" si="22"/>
        <v>0</v>
      </c>
      <c r="J53" s="117">
        <f t="shared" si="22"/>
        <v>0</v>
      </c>
      <c r="K53" s="34"/>
      <c r="L53" s="4"/>
      <c r="M53" s="34"/>
      <c r="N53" s="4"/>
      <c r="O53" s="34"/>
      <c r="P53" s="46"/>
      <c r="Q53" s="151">
        <f t="shared" si="20"/>
        <v>0</v>
      </c>
      <c r="R53" s="117">
        <f t="shared" si="20"/>
        <v>0</v>
      </c>
      <c r="S53" s="151">
        <f t="shared" si="21"/>
        <v>0</v>
      </c>
      <c r="T53" s="117">
        <f t="shared" si="21"/>
        <v>0</v>
      </c>
      <c r="U53" s="34"/>
      <c r="V53" s="4"/>
      <c r="W53" s="34"/>
      <c r="X53" s="4"/>
      <c r="Y53" s="34"/>
      <c r="Z53" s="46"/>
      <c r="AA53" s="151">
        <f t="shared" si="23"/>
        <v>0</v>
      </c>
      <c r="AB53" s="117">
        <f t="shared" si="23"/>
        <v>0</v>
      </c>
      <c r="AC53" s="34"/>
      <c r="AD53" s="4"/>
      <c r="AE53" s="34"/>
      <c r="AF53" s="4"/>
      <c r="AG53" s="34"/>
      <c r="AH53" s="46"/>
      <c r="AI53" s="151">
        <f t="shared" si="18"/>
        <v>0</v>
      </c>
      <c r="AJ53" s="117">
        <f t="shared" si="18"/>
        <v>0</v>
      </c>
      <c r="AK53" s="151">
        <f t="shared" si="17"/>
        <v>0</v>
      </c>
      <c r="AL53" s="117">
        <f t="shared" si="17"/>
        <v>0</v>
      </c>
      <c r="AM53" s="151">
        <f t="shared" si="19"/>
        <v>0</v>
      </c>
      <c r="AN53" s="117">
        <f t="shared" si="19"/>
        <v>0</v>
      </c>
    </row>
    <row r="54" spans="1:40" ht="20.25" customHeight="1" x14ac:dyDescent="0.15">
      <c r="A54" s="26"/>
      <c r="B54" s="27" t="s">
        <v>55</v>
      </c>
      <c r="C54" s="35"/>
      <c r="D54" s="28"/>
      <c r="E54" s="35"/>
      <c r="F54" s="28"/>
      <c r="G54" s="35"/>
      <c r="H54" s="47"/>
      <c r="I54" s="152">
        <f t="shared" si="22"/>
        <v>0</v>
      </c>
      <c r="J54" s="118">
        <f t="shared" si="22"/>
        <v>0</v>
      </c>
      <c r="K54" s="35"/>
      <c r="L54" s="28"/>
      <c r="M54" s="35"/>
      <c r="N54" s="28"/>
      <c r="O54" s="35"/>
      <c r="P54" s="47"/>
      <c r="Q54" s="152">
        <f t="shared" si="20"/>
        <v>0</v>
      </c>
      <c r="R54" s="118">
        <f t="shared" si="20"/>
        <v>0</v>
      </c>
      <c r="S54" s="152">
        <f t="shared" si="21"/>
        <v>0</v>
      </c>
      <c r="T54" s="118">
        <f t="shared" si="21"/>
        <v>0</v>
      </c>
      <c r="U54" s="35"/>
      <c r="V54" s="28"/>
      <c r="W54" s="35"/>
      <c r="X54" s="28"/>
      <c r="Y54" s="35"/>
      <c r="Z54" s="47"/>
      <c r="AA54" s="152">
        <f t="shared" si="23"/>
        <v>0</v>
      </c>
      <c r="AB54" s="118">
        <f t="shared" si="23"/>
        <v>0</v>
      </c>
      <c r="AC54" s="35"/>
      <c r="AD54" s="28"/>
      <c r="AE54" s="35"/>
      <c r="AF54" s="28"/>
      <c r="AG54" s="35"/>
      <c r="AH54" s="47"/>
      <c r="AI54" s="152">
        <f t="shared" si="18"/>
        <v>0</v>
      </c>
      <c r="AJ54" s="118">
        <f t="shared" si="18"/>
        <v>0</v>
      </c>
      <c r="AK54" s="152">
        <f t="shared" si="17"/>
        <v>0</v>
      </c>
      <c r="AL54" s="118">
        <f t="shared" si="17"/>
        <v>0</v>
      </c>
      <c r="AM54" s="152">
        <f t="shared" si="19"/>
        <v>0</v>
      </c>
      <c r="AN54" s="118">
        <f t="shared" si="19"/>
        <v>0</v>
      </c>
    </row>
    <row r="55" spans="1:40" ht="20.25" customHeight="1" x14ac:dyDescent="0.15">
      <c r="A55" s="21" t="s">
        <v>81</v>
      </c>
      <c r="B55" s="22" t="s">
        <v>188</v>
      </c>
      <c r="C55" s="34"/>
      <c r="D55" s="4"/>
      <c r="E55" s="34"/>
      <c r="F55" s="4"/>
      <c r="G55" s="34"/>
      <c r="H55" s="46"/>
      <c r="I55" s="151">
        <f t="shared" si="22"/>
        <v>0</v>
      </c>
      <c r="J55" s="117">
        <f t="shared" si="22"/>
        <v>0</v>
      </c>
      <c r="K55" s="34"/>
      <c r="L55" s="4"/>
      <c r="M55" s="34"/>
      <c r="N55" s="4"/>
      <c r="O55" s="34"/>
      <c r="P55" s="46"/>
      <c r="Q55" s="151">
        <f t="shared" si="20"/>
        <v>0</v>
      </c>
      <c r="R55" s="117">
        <f t="shared" si="20"/>
        <v>0</v>
      </c>
      <c r="S55" s="151">
        <f t="shared" si="21"/>
        <v>0</v>
      </c>
      <c r="T55" s="117">
        <f t="shared" si="21"/>
        <v>0</v>
      </c>
      <c r="U55" s="34"/>
      <c r="V55" s="4"/>
      <c r="W55" s="34"/>
      <c r="X55" s="4"/>
      <c r="Y55" s="34"/>
      <c r="Z55" s="46"/>
      <c r="AA55" s="151">
        <f t="shared" si="23"/>
        <v>0</v>
      </c>
      <c r="AB55" s="117">
        <f t="shared" si="23"/>
        <v>0</v>
      </c>
      <c r="AC55" s="34"/>
      <c r="AD55" s="4"/>
      <c r="AE55" s="34"/>
      <c r="AF55" s="4"/>
      <c r="AG55" s="34"/>
      <c r="AH55" s="46"/>
      <c r="AI55" s="151">
        <f t="shared" si="18"/>
        <v>0</v>
      </c>
      <c r="AJ55" s="117">
        <f t="shared" si="18"/>
        <v>0</v>
      </c>
      <c r="AK55" s="151">
        <f t="shared" si="17"/>
        <v>0</v>
      </c>
      <c r="AL55" s="117">
        <f t="shared" si="17"/>
        <v>0</v>
      </c>
      <c r="AM55" s="151">
        <f t="shared" si="19"/>
        <v>0</v>
      </c>
      <c r="AN55" s="117">
        <f t="shared" si="19"/>
        <v>0</v>
      </c>
    </row>
    <row r="56" spans="1:40" ht="20.25" customHeight="1" x14ac:dyDescent="0.15">
      <c r="A56" s="21"/>
      <c r="B56" s="22" t="s">
        <v>207</v>
      </c>
      <c r="C56" s="34"/>
      <c r="D56" s="4"/>
      <c r="E56" s="34"/>
      <c r="F56" s="4"/>
      <c r="G56" s="34"/>
      <c r="H56" s="46"/>
      <c r="I56" s="151"/>
      <c r="J56" s="117"/>
      <c r="K56" s="34"/>
      <c r="L56" s="4"/>
      <c r="M56" s="34"/>
      <c r="N56" s="4"/>
      <c r="O56" s="34"/>
      <c r="P56" s="46"/>
      <c r="Q56" s="151"/>
      <c r="R56" s="117"/>
      <c r="S56" s="151"/>
      <c r="T56" s="117"/>
      <c r="U56" s="34"/>
      <c r="V56" s="4"/>
      <c r="W56" s="34"/>
      <c r="X56" s="4"/>
      <c r="Y56" s="34"/>
      <c r="Z56" s="46"/>
      <c r="AA56" s="151"/>
      <c r="AB56" s="117"/>
      <c r="AC56" s="34"/>
      <c r="AD56" s="4"/>
      <c r="AE56" s="34"/>
      <c r="AF56" s="4"/>
      <c r="AG56" s="34"/>
      <c r="AH56" s="46"/>
      <c r="AI56" s="151"/>
      <c r="AJ56" s="117"/>
      <c r="AK56" s="151"/>
      <c r="AL56" s="117"/>
      <c r="AM56" s="151">
        <f t="shared" si="19"/>
        <v>0</v>
      </c>
      <c r="AN56" s="117">
        <f t="shared" si="19"/>
        <v>0</v>
      </c>
    </row>
    <row r="57" spans="1:40" ht="20.25" customHeight="1" thickBot="1" x14ac:dyDescent="0.2">
      <c r="A57" s="21" t="s">
        <v>82</v>
      </c>
      <c r="B57" s="6" t="s">
        <v>74</v>
      </c>
      <c r="C57" s="34"/>
      <c r="D57" s="4"/>
      <c r="E57" s="34"/>
      <c r="F57" s="4"/>
      <c r="G57" s="34"/>
      <c r="H57" s="46"/>
      <c r="I57" s="151">
        <f>C57+E57+G57</f>
        <v>0</v>
      </c>
      <c r="J57" s="117">
        <f t="shared" si="22"/>
        <v>0</v>
      </c>
      <c r="K57" s="34"/>
      <c r="L57" s="4">
        <v>82500</v>
      </c>
      <c r="M57" s="34"/>
      <c r="N57" s="4"/>
      <c r="O57" s="34"/>
      <c r="P57" s="46">
        <v>80000</v>
      </c>
      <c r="Q57" s="151">
        <f t="shared" si="20"/>
        <v>0</v>
      </c>
      <c r="R57" s="117">
        <f t="shared" si="20"/>
        <v>162500</v>
      </c>
      <c r="S57" s="151">
        <f t="shared" si="21"/>
        <v>0</v>
      </c>
      <c r="T57" s="117">
        <f t="shared" si="21"/>
        <v>162500</v>
      </c>
      <c r="U57" s="34"/>
      <c r="V57" s="4"/>
      <c r="W57" s="34"/>
      <c r="X57" s="4"/>
      <c r="Y57" s="34"/>
      <c r="Z57" s="46"/>
      <c r="AA57" s="151">
        <f t="shared" si="23"/>
        <v>0</v>
      </c>
      <c r="AB57" s="117">
        <f t="shared" si="23"/>
        <v>0</v>
      </c>
      <c r="AC57" s="34"/>
      <c r="AD57" s="4"/>
      <c r="AE57" s="34"/>
      <c r="AF57" s="4"/>
      <c r="AG57" s="34"/>
      <c r="AH57" s="46"/>
      <c r="AI57" s="151">
        <f t="shared" si="18"/>
        <v>0</v>
      </c>
      <c r="AJ57" s="117">
        <f t="shared" si="18"/>
        <v>0</v>
      </c>
      <c r="AK57" s="151">
        <f t="shared" si="17"/>
        <v>0</v>
      </c>
      <c r="AL57" s="117">
        <f t="shared" si="17"/>
        <v>0</v>
      </c>
      <c r="AM57" s="151">
        <f t="shared" si="19"/>
        <v>0</v>
      </c>
      <c r="AN57" s="117">
        <f t="shared" si="19"/>
        <v>162500</v>
      </c>
    </row>
    <row r="58" spans="1:40" ht="20.25" customHeight="1" thickTop="1" thickBot="1" x14ac:dyDescent="0.2">
      <c r="A58" s="24"/>
      <c r="B58" s="7" t="s">
        <v>27</v>
      </c>
      <c r="C58" s="40">
        <f>SUM(C33:C57)</f>
        <v>0</v>
      </c>
      <c r="D58" s="14">
        <f>SUM(D33:D57)</f>
        <v>0</v>
      </c>
      <c r="E58" s="40">
        <f t="shared" ref="E58:AL58" si="24">SUM(E33:E57)</f>
        <v>0</v>
      </c>
      <c r="F58" s="14">
        <f t="shared" si="24"/>
        <v>336244</v>
      </c>
      <c r="G58" s="40">
        <f t="shared" si="24"/>
        <v>347925</v>
      </c>
      <c r="H58" s="52">
        <f t="shared" si="24"/>
        <v>177440</v>
      </c>
      <c r="I58" s="40">
        <f t="shared" si="24"/>
        <v>0</v>
      </c>
      <c r="J58" s="14">
        <f t="shared" si="24"/>
        <v>0</v>
      </c>
      <c r="K58" s="40">
        <f t="shared" si="24"/>
        <v>347925</v>
      </c>
      <c r="L58" s="14">
        <f t="shared" si="24"/>
        <v>383950</v>
      </c>
      <c r="M58" s="40">
        <f t="shared" si="24"/>
        <v>347925</v>
      </c>
      <c r="N58" s="14">
        <f t="shared" si="24"/>
        <v>488590</v>
      </c>
      <c r="O58" s="40">
        <f t="shared" si="24"/>
        <v>389399</v>
      </c>
      <c r="P58" s="52">
        <f t="shared" si="24"/>
        <v>448188</v>
      </c>
      <c r="Q58" s="40">
        <f t="shared" si="24"/>
        <v>0</v>
      </c>
      <c r="R58" s="14">
        <f t="shared" si="24"/>
        <v>162500</v>
      </c>
      <c r="S58" s="40">
        <f t="shared" si="24"/>
        <v>0</v>
      </c>
      <c r="T58" s="14">
        <f t="shared" si="24"/>
        <v>162500</v>
      </c>
      <c r="U58" s="40">
        <f t="shared" si="24"/>
        <v>389399</v>
      </c>
      <c r="V58" s="14">
        <f t="shared" si="24"/>
        <v>122717</v>
      </c>
      <c r="W58" s="40">
        <f t="shared" si="24"/>
        <v>389399</v>
      </c>
      <c r="X58" s="14">
        <f t="shared" si="24"/>
        <v>78300</v>
      </c>
      <c r="Y58" s="40">
        <f t="shared" si="24"/>
        <v>512349</v>
      </c>
      <c r="Z58" s="52">
        <f t="shared" si="24"/>
        <v>11149</v>
      </c>
      <c r="AA58" s="40">
        <f t="shared" si="24"/>
        <v>0</v>
      </c>
      <c r="AB58" s="14">
        <f t="shared" si="24"/>
        <v>0</v>
      </c>
      <c r="AC58" s="40">
        <f t="shared" si="24"/>
        <v>512349</v>
      </c>
      <c r="AD58" s="14">
        <f t="shared" si="24"/>
        <v>0</v>
      </c>
      <c r="AE58" s="40">
        <f t="shared" si="24"/>
        <v>512349</v>
      </c>
      <c r="AF58" s="14">
        <f t="shared" si="24"/>
        <v>0</v>
      </c>
      <c r="AG58" s="40">
        <f t="shared" si="24"/>
        <v>635299</v>
      </c>
      <c r="AH58" s="52">
        <f t="shared" si="24"/>
        <v>0</v>
      </c>
      <c r="AI58" s="40">
        <f t="shared" si="24"/>
        <v>1659997</v>
      </c>
      <c r="AJ58" s="14">
        <f t="shared" si="24"/>
        <v>0</v>
      </c>
      <c r="AK58" s="40">
        <f t="shared" si="24"/>
        <v>1659997</v>
      </c>
      <c r="AL58" s="14">
        <f t="shared" si="24"/>
        <v>0</v>
      </c>
      <c r="AM58" s="40">
        <f>SUM(AM33:AM57)</f>
        <v>4384318</v>
      </c>
      <c r="AN58" s="14">
        <f>SUM(AN33:AN57)</f>
        <v>2046578</v>
      </c>
    </row>
    <row r="59" spans="1:40" ht="20.25" customHeight="1" thickBot="1" x14ac:dyDescent="0.2">
      <c r="A59" s="212" t="s">
        <v>57</v>
      </c>
      <c r="B59" s="213"/>
      <c r="C59" s="41">
        <f>C32+C58</f>
        <v>0</v>
      </c>
      <c r="D59" s="15">
        <f>D32+D58</f>
        <v>0</v>
      </c>
      <c r="E59" s="41">
        <f t="shared" ref="E59:AL59" si="25">E32+E58</f>
        <v>0</v>
      </c>
      <c r="F59" s="15">
        <f t="shared" si="25"/>
        <v>1118975.52</v>
      </c>
      <c r="G59" s="41">
        <f t="shared" si="25"/>
        <v>1594877</v>
      </c>
      <c r="H59" s="53">
        <f t="shared" si="25"/>
        <v>961320.94</v>
      </c>
      <c r="I59" s="41">
        <f t="shared" si="25"/>
        <v>0</v>
      </c>
      <c r="J59" s="15">
        <f t="shared" si="25"/>
        <v>0</v>
      </c>
      <c r="K59" s="41">
        <f t="shared" si="25"/>
        <v>1594877</v>
      </c>
      <c r="L59" s="15">
        <f t="shared" si="25"/>
        <v>1167830.94</v>
      </c>
      <c r="M59" s="41">
        <f t="shared" si="25"/>
        <v>1594877</v>
      </c>
      <c r="N59" s="15">
        <f t="shared" si="25"/>
        <v>1272470.94</v>
      </c>
      <c r="O59" s="41">
        <f t="shared" si="25"/>
        <v>1795855</v>
      </c>
      <c r="P59" s="53">
        <f t="shared" si="25"/>
        <v>1232068.94</v>
      </c>
      <c r="Q59" s="41">
        <f t="shared" si="25"/>
        <v>3900360</v>
      </c>
      <c r="R59" s="15">
        <f t="shared" si="25"/>
        <v>2514142.8199999998</v>
      </c>
      <c r="S59" s="41">
        <f t="shared" si="25"/>
        <v>3900360</v>
      </c>
      <c r="T59" s="15">
        <f t="shared" si="25"/>
        <v>2514142.8199999998</v>
      </c>
      <c r="U59" s="41">
        <f t="shared" si="25"/>
        <v>1795855</v>
      </c>
      <c r="V59" s="15">
        <f t="shared" si="25"/>
        <v>906597.94</v>
      </c>
      <c r="W59" s="41">
        <f t="shared" si="25"/>
        <v>1795855</v>
      </c>
      <c r="X59" s="15">
        <f t="shared" si="25"/>
        <v>864892.94</v>
      </c>
      <c r="Y59" s="41">
        <f t="shared" si="25"/>
        <v>2391217</v>
      </c>
      <c r="Z59" s="53">
        <f t="shared" si="25"/>
        <v>1137096.94</v>
      </c>
      <c r="AA59" s="41">
        <f t="shared" si="25"/>
        <v>0</v>
      </c>
      <c r="AB59" s="15">
        <f t="shared" si="25"/>
        <v>0</v>
      </c>
      <c r="AC59" s="41">
        <f t="shared" si="25"/>
        <v>2391217</v>
      </c>
      <c r="AD59" s="15">
        <f t="shared" si="25"/>
        <v>0</v>
      </c>
      <c r="AE59" s="41">
        <f t="shared" si="25"/>
        <v>2391217</v>
      </c>
      <c r="AF59" s="15">
        <f t="shared" si="25"/>
        <v>0</v>
      </c>
      <c r="AG59" s="41">
        <f t="shared" si="25"/>
        <v>2986579</v>
      </c>
      <c r="AH59" s="53">
        <f t="shared" si="25"/>
        <v>0</v>
      </c>
      <c r="AI59" s="41">
        <f t="shared" si="25"/>
        <v>7769013</v>
      </c>
      <c r="AJ59" s="15">
        <f t="shared" si="25"/>
        <v>0</v>
      </c>
      <c r="AK59" s="41">
        <f t="shared" si="25"/>
        <v>7769013</v>
      </c>
      <c r="AL59" s="15">
        <f t="shared" si="25"/>
        <v>0</v>
      </c>
      <c r="AM59" s="41">
        <f>AM32+AM58</f>
        <v>20332426</v>
      </c>
      <c r="AN59" s="15">
        <f>AN32+AN58</f>
        <v>8661255.0999999996</v>
      </c>
    </row>
    <row r="60" spans="1:40" ht="20.25" customHeight="1" x14ac:dyDescent="0.15">
      <c r="A60" s="218" t="s">
        <v>75</v>
      </c>
      <c r="B60" s="219"/>
      <c r="C60" s="37">
        <f>C21-C59</f>
        <v>0</v>
      </c>
      <c r="D60" s="9">
        <f t="shared" ref="D60:AL60" si="26">D21-D59</f>
        <v>0</v>
      </c>
      <c r="E60" s="37">
        <f t="shared" si="26"/>
        <v>0</v>
      </c>
      <c r="F60" s="9">
        <f t="shared" si="26"/>
        <v>-1118975.52</v>
      </c>
      <c r="G60" s="37">
        <f t="shared" si="26"/>
        <v>-1594877</v>
      </c>
      <c r="H60" s="49">
        <f t="shared" si="26"/>
        <v>-961320.94</v>
      </c>
      <c r="I60" s="37">
        <f>I21-I59</f>
        <v>0</v>
      </c>
      <c r="J60" s="9">
        <f t="shared" si="26"/>
        <v>0</v>
      </c>
      <c r="K60" s="37">
        <f t="shared" si="26"/>
        <v>-1345855</v>
      </c>
      <c r="L60" s="9">
        <f t="shared" si="26"/>
        <v>-1167830.94</v>
      </c>
      <c r="M60" s="37">
        <f t="shared" si="26"/>
        <v>-1096833</v>
      </c>
      <c r="N60" s="9">
        <f t="shared" si="26"/>
        <v>-1272470.94</v>
      </c>
      <c r="O60" s="37">
        <f t="shared" si="26"/>
        <v>-1048789</v>
      </c>
      <c r="P60" s="49">
        <f t="shared" si="26"/>
        <v>-1232068.94</v>
      </c>
      <c r="Q60" s="37">
        <f t="shared" si="26"/>
        <v>-2406228</v>
      </c>
      <c r="R60" s="9">
        <f t="shared" si="26"/>
        <v>-2514142.8199999998</v>
      </c>
      <c r="S60" s="37">
        <f t="shared" si="26"/>
        <v>-2406228</v>
      </c>
      <c r="T60" s="9">
        <f t="shared" si="26"/>
        <v>-2514142.8199999998</v>
      </c>
      <c r="U60" s="37">
        <f t="shared" si="26"/>
        <v>-716759</v>
      </c>
      <c r="V60" s="9">
        <f t="shared" si="26"/>
        <v>-906597.94</v>
      </c>
      <c r="W60" s="37">
        <f t="shared" si="26"/>
        <v>-384730</v>
      </c>
      <c r="X60" s="9">
        <f t="shared" si="26"/>
        <v>-864892.94</v>
      </c>
      <c r="Y60" s="37">
        <f t="shared" si="26"/>
        <v>-648062</v>
      </c>
      <c r="Z60" s="49">
        <f t="shared" si="26"/>
        <v>-1137096.94</v>
      </c>
      <c r="AA60" s="37">
        <f t="shared" si="26"/>
        <v>4233376</v>
      </c>
      <c r="AB60" s="9">
        <f t="shared" si="26"/>
        <v>0</v>
      </c>
      <c r="AC60" s="37">
        <f t="shared" si="26"/>
        <v>-150018</v>
      </c>
      <c r="AD60" s="9">
        <f t="shared" si="26"/>
        <v>0</v>
      </c>
      <c r="AE60" s="37">
        <f t="shared" si="26"/>
        <v>348026</v>
      </c>
      <c r="AF60" s="9">
        <f t="shared" si="26"/>
        <v>0</v>
      </c>
      <c r="AG60" s="37">
        <f t="shared" si="26"/>
        <v>250708</v>
      </c>
      <c r="AH60" s="49">
        <f t="shared" si="26"/>
        <v>0</v>
      </c>
      <c r="AI60" s="37">
        <f t="shared" si="26"/>
        <v>448716</v>
      </c>
      <c r="AJ60" s="9">
        <f t="shared" si="26"/>
        <v>0</v>
      </c>
      <c r="AK60" s="37">
        <f t="shared" si="26"/>
        <v>4682092</v>
      </c>
      <c r="AL60" s="9">
        <f t="shared" si="26"/>
        <v>0</v>
      </c>
      <c r="AM60" s="37">
        <f>AM21-AM59</f>
        <v>-6387189</v>
      </c>
      <c r="AN60" s="9">
        <f>AN21-AN59</f>
        <v>-8661255.0999999996</v>
      </c>
    </row>
    <row r="61" spans="1:40" s="16" customFormat="1" ht="20.25" customHeight="1" thickBot="1" x14ac:dyDescent="0.2">
      <c r="A61" s="210" t="s">
        <v>29</v>
      </c>
      <c r="B61" s="211"/>
      <c r="C61" s="38" t="str">
        <f t="shared" ref="C61:AN61" si="27">IF(C5=0,"        ― ",C60/C5)</f>
        <v xml:space="preserve">        ― </v>
      </c>
      <c r="D61" s="10" t="str">
        <f t="shared" si="27"/>
        <v xml:space="preserve">        ― </v>
      </c>
      <c r="E61" s="38" t="str">
        <f t="shared" si="27"/>
        <v xml:space="preserve">        ― </v>
      </c>
      <c r="F61" s="10" t="str">
        <f t="shared" si="27"/>
        <v xml:space="preserve">        ― </v>
      </c>
      <c r="G61" s="38" t="str">
        <f t="shared" si="27"/>
        <v xml:space="preserve">        ― </v>
      </c>
      <c r="H61" s="50" t="str">
        <f t="shared" si="27"/>
        <v xml:space="preserve">        ― </v>
      </c>
      <c r="I61" s="38" t="str">
        <f t="shared" si="27"/>
        <v xml:space="preserve">        ― </v>
      </c>
      <c r="J61" s="10" t="str">
        <f t="shared" si="27"/>
        <v xml:space="preserve">        ― </v>
      </c>
      <c r="K61" s="38">
        <f t="shared" si="27"/>
        <v>-1.0125910376790659</v>
      </c>
      <c r="L61" s="10" t="str">
        <f t="shared" si="27"/>
        <v xml:space="preserve">        ― </v>
      </c>
      <c r="M61" s="38">
        <f t="shared" si="27"/>
        <v>-0.41261624232574939</v>
      </c>
      <c r="N61" s="10" t="str">
        <f t="shared" si="27"/>
        <v xml:space="preserve">        ― </v>
      </c>
      <c r="O61" s="38">
        <f t="shared" si="27"/>
        <v>-0.26302841980658881</v>
      </c>
      <c r="P61" s="50" t="str">
        <f t="shared" si="27"/>
        <v xml:space="preserve">        ― </v>
      </c>
      <c r="Q61" s="38">
        <f t="shared" si="27"/>
        <v>-0.30173197303478994</v>
      </c>
      <c r="R61" s="10" t="str">
        <f t="shared" si="27"/>
        <v xml:space="preserve">        ― </v>
      </c>
      <c r="S61" s="38">
        <f t="shared" si="27"/>
        <v>-0.30173197303478994</v>
      </c>
      <c r="T61" s="10" t="str">
        <f t="shared" si="27"/>
        <v xml:space="preserve">        ― </v>
      </c>
      <c r="U61" s="38">
        <f t="shared" si="27"/>
        <v>-0.12444769703030809</v>
      </c>
      <c r="V61" s="10" t="str">
        <f t="shared" si="27"/>
        <v xml:space="preserve">        ― </v>
      </c>
      <c r="W61" s="38">
        <f t="shared" si="27"/>
        <v>-5.1081564803602916E-2</v>
      </c>
      <c r="X61" s="10" t="str">
        <f t="shared" si="27"/>
        <v xml:space="preserve">        ― </v>
      </c>
      <c r="Y61" s="38">
        <f t="shared" si="27"/>
        <v>-6.9655325113071598E-2</v>
      </c>
      <c r="Z61" s="50" t="str">
        <f t="shared" si="27"/>
        <v xml:space="preserve">        ― </v>
      </c>
      <c r="AA61" s="38">
        <f t="shared" si="27"/>
        <v>0.18735864154256862</v>
      </c>
      <c r="AB61" s="10" t="str">
        <f t="shared" si="27"/>
        <v xml:space="preserve">        ― </v>
      </c>
      <c r="AC61" s="38">
        <f t="shared" si="27"/>
        <v>-1.2541129970707436E-2</v>
      </c>
      <c r="AD61" s="10" t="str">
        <f t="shared" si="27"/>
        <v xml:space="preserve">        ― </v>
      </c>
      <c r="AE61" s="38">
        <f t="shared" si="27"/>
        <v>2.3804266938069755E-2</v>
      </c>
      <c r="AF61" s="10" t="str">
        <f t="shared" si="27"/>
        <v xml:space="preserve">        ― </v>
      </c>
      <c r="AG61" s="38">
        <f t="shared" si="27"/>
        <v>1.4509773962645035E-2</v>
      </c>
      <c r="AH61" s="50" t="str">
        <f t="shared" si="27"/>
        <v xml:space="preserve">        ― </v>
      </c>
      <c r="AI61" s="38">
        <f t="shared" si="27"/>
        <v>1.0230419033235934E-2</v>
      </c>
      <c r="AJ61" s="10" t="str">
        <f t="shared" si="27"/>
        <v xml:space="preserve">        ― </v>
      </c>
      <c r="AK61" s="38">
        <f t="shared" si="27"/>
        <v>7.045401468640905E-2</v>
      </c>
      <c r="AL61" s="10" t="str">
        <f t="shared" si="27"/>
        <v xml:space="preserve">        ― </v>
      </c>
      <c r="AM61" s="38">
        <f t="shared" si="27"/>
        <v>-8.5813881687561266E-2</v>
      </c>
      <c r="AN61" s="10" t="str">
        <f t="shared" si="27"/>
        <v xml:space="preserve">        ― </v>
      </c>
    </row>
    <row r="62" spans="1:40" s="18" customFormat="1" ht="20.25" hidden="1" customHeight="1" thickBot="1" x14ac:dyDescent="0.2">
      <c r="A62" s="237" t="s">
        <v>58</v>
      </c>
      <c r="B62" s="238"/>
      <c r="C62" s="42"/>
      <c r="D62" s="17"/>
      <c r="E62" s="42"/>
      <c r="F62" s="17"/>
      <c r="G62" s="42"/>
      <c r="H62" s="54"/>
      <c r="I62" s="41"/>
      <c r="J62" s="15"/>
      <c r="K62" s="42"/>
      <c r="L62" s="17"/>
      <c r="M62" s="42"/>
      <c r="N62" s="17"/>
      <c r="O62" s="42"/>
      <c r="P62" s="54"/>
      <c r="Q62" s="41"/>
      <c r="R62" s="15"/>
      <c r="S62" s="41"/>
      <c r="T62" s="15"/>
      <c r="U62" s="42"/>
      <c r="V62" s="17"/>
      <c r="W62" s="42"/>
      <c r="X62" s="17"/>
      <c r="Y62" s="42"/>
      <c r="Z62" s="54"/>
      <c r="AA62" s="41"/>
      <c r="AB62" s="15"/>
      <c r="AC62" s="42"/>
      <c r="AD62" s="17"/>
      <c r="AE62" s="42"/>
      <c r="AF62" s="17"/>
      <c r="AG62" s="42"/>
      <c r="AH62" s="54"/>
      <c r="AI62" s="41"/>
      <c r="AJ62" s="15"/>
      <c r="AK62" s="41"/>
      <c r="AL62" s="15"/>
      <c r="AM62" s="41"/>
      <c r="AN62" s="15"/>
    </row>
    <row r="63" spans="1:40" s="18" customFormat="1" ht="20.25" customHeight="1" thickBot="1" x14ac:dyDescent="0.2">
      <c r="A63" s="239" t="s">
        <v>59</v>
      </c>
      <c r="B63" s="240"/>
      <c r="C63" s="42">
        <f t="shared" ref="C63:AL63" si="28">C5*0.04</f>
        <v>0</v>
      </c>
      <c r="D63" s="17">
        <f t="shared" si="28"/>
        <v>0</v>
      </c>
      <c r="E63" s="42">
        <f t="shared" si="28"/>
        <v>0</v>
      </c>
      <c r="F63" s="17">
        <f t="shared" si="28"/>
        <v>0</v>
      </c>
      <c r="G63" s="42">
        <f t="shared" si="28"/>
        <v>0</v>
      </c>
      <c r="H63" s="54">
        <f t="shared" si="28"/>
        <v>0</v>
      </c>
      <c r="I63" s="41">
        <f t="shared" si="28"/>
        <v>0</v>
      </c>
      <c r="J63" s="15">
        <f t="shared" si="28"/>
        <v>0</v>
      </c>
      <c r="K63" s="42">
        <f t="shared" si="28"/>
        <v>53164.800000000003</v>
      </c>
      <c r="L63" s="17">
        <f t="shared" si="28"/>
        <v>0</v>
      </c>
      <c r="M63" s="42">
        <f t="shared" si="28"/>
        <v>106329.60000000001</v>
      </c>
      <c r="N63" s="17">
        <f t="shared" si="28"/>
        <v>0</v>
      </c>
      <c r="O63" s="42">
        <f t="shared" si="28"/>
        <v>159494.39999999999</v>
      </c>
      <c r="P63" s="54">
        <f t="shared" si="28"/>
        <v>0</v>
      </c>
      <c r="Q63" s="41">
        <f t="shared" si="28"/>
        <v>318988.79999999999</v>
      </c>
      <c r="R63" s="15">
        <f t="shared" si="28"/>
        <v>0</v>
      </c>
      <c r="S63" s="41">
        <f t="shared" si="28"/>
        <v>318988.79999999999</v>
      </c>
      <c r="T63" s="15">
        <f t="shared" si="28"/>
        <v>0</v>
      </c>
      <c r="U63" s="42">
        <f t="shared" si="28"/>
        <v>230380.80000000002</v>
      </c>
      <c r="V63" s="17">
        <f t="shared" si="28"/>
        <v>0</v>
      </c>
      <c r="W63" s="42">
        <f t="shared" si="28"/>
        <v>301267.20000000001</v>
      </c>
      <c r="X63" s="17">
        <f t="shared" si="28"/>
        <v>0</v>
      </c>
      <c r="Y63" s="42">
        <f t="shared" si="28"/>
        <v>372153.60000000003</v>
      </c>
      <c r="Z63" s="54">
        <f t="shared" si="28"/>
        <v>0</v>
      </c>
      <c r="AA63" s="41">
        <f t="shared" si="28"/>
        <v>903801.6</v>
      </c>
      <c r="AB63" s="15">
        <f t="shared" si="28"/>
        <v>0</v>
      </c>
      <c r="AC63" s="42">
        <f t="shared" si="28"/>
        <v>478483.20000000001</v>
      </c>
      <c r="AD63" s="17">
        <f t="shared" si="28"/>
        <v>0</v>
      </c>
      <c r="AE63" s="42">
        <f t="shared" si="28"/>
        <v>584812.80000000005</v>
      </c>
      <c r="AF63" s="17">
        <f t="shared" si="28"/>
        <v>0</v>
      </c>
      <c r="AG63" s="42">
        <f t="shared" si="28"/>
        <v>691142.4</v>
      </c>
      <c r="AH63" s="54">
        <f t="shared" si="28"/>
        <v>0</v>
      </c>
      <c r="AI63" s="41">
        <f t="shared" si="28"/>
        <v>1754438.4000000001</v>
      </c>
      <c r="AJ63" s="15">
        <f t="shared" si="28"/>
        <v>0</v>
      </c>
      <c r="AK63" s="41">
        <f t="shared" si="28"/>
        <v>2658240</v>
      </c>
      <c r="AL63" s="15">
        <f t="shared" si="28"/>
        <v>0</v>
      </c>
      <c r="AM63" s="41">
        <f>AM5*0.04</f>
        <v>2977228.8000000003</v>
      </c>
      <c r="AN63" s="15">
        <f>AN5*0.04</f>
        <v>0</v>
      </c>
    </row>
    <row r="64" spans="1:40" ht="20.25" customHeight="1" x14ac:dyDescent="0.15">
      <c r="A64" s="218" t="s">
        <v>60</v>
      </c>
      <c r="B64" s="219"/>
      <c r="C64" s="37">
        <f>C60-C63+C62</f>
        <v>0</v>
      </c>
      <c r="D64" s="9">
        <f t="shared" ref="D64:AL64" si="29">D60-D63+D62</f>
        <v>0</v>
      </c>
      <c r="E64" s="37">
        <f t="shared" si="29"/>
        <v>0</v>
      </c>
      <c r="F64" s="9">
        <f t="shared" si="29"/>
        <v>-1118975.52</v>
      </c>
      <c r="G64" s="37">
        <f t="shared" si="29"/>
        <v>-1594877</v>
      </c>
      <c r="H64" s="49">
        <f t="shared" si="29"/>
        <v>-961320.94</v>
      </c>
      <c r="I64" s="37">
        <f t="shared" si="29"/>
        <v>0</v>
      </c>
      <c r="J64" s="9">
        <f>J60-J63+J62</f>
        <v>0</v>
      </c>
      <c r="K64" s="37">
        <f t="shared" si="29"/>
        <v>-1399019.8</v>
      </c>
      <c r="L64" s="9">
        <f t="shared" si="29"/>
        <v>-1167830.94</v>
      </c>
      <c r="M64" s="37">
        <f t="shared" si="29"/>
        <v>-1203162.6000000001</v>
      </c>
      <c r="N64" s="9">
        <f t="shared" si="29"/>
        <v>-1272470.94</v>
      </c>
      <c r="O64" s="37">
        <f t="shared" si="29"/>
        <v>-1208283.3999999999</v>
      </c>
      <c r="P64" s="49">
        <f t="shared" si="29"/>
        <v>-1232068.94</v>
      </c>
      <c r="Q64" s="37">
        <f t="shared" si="29"/>
        <v>-2725216.8</v>
      </c>
      <c r="R64" s="9">
        <f t="shared" si="29"/>
        <v>-2514142.8199999998</v>
      </c>
      <c r="S64" s="37">
        <f t="shared" si="29"/>
        <v>-2725216.8</v>
      </c>
      <c r="T64" s="9">
        <f t="shared" si="29"/>
        <v>-2514142.8199999998</v>
      </c>
      <c r="U64" s="37">
        <f t="shared" si="29"/>
        <v>-947139.8</v>
      </c>
      <c r="V64" s="9">
        <f t="shared" si="29"/>
        <v>-906597.94</v>
      </c>
      <c r="W64" s="37">
        <f t="shared" si="29"/>
        <v>-685997.2</v>
      </c>
      <c r="X64" s="9">
        <f t="shared" si="29"/>
        <v>-864892.94</v>
      </c>
      <c r="Y64" s="37">
        <f t="shared" si="29"/>
        <v>-1020215.6000000001</v>
      </c>
      <c r="Z64" s="49">
        <f t="shared" si="29"/>
        <v>-1137096.94</v>
      </c>
      <c r="AA64" s="37">
        <f t="shared" si="29"/>
        <v>3329574.4</v>
      </c>
      <c r="AB64" s="9">
        <f t="shared" si="29"/>
        <v>0</v>
      </c>
      <c r="AC64" s="37">
        <f t="shared" si="29"/>
        <v>-628501.19999999995</v>
      </c>
      <c r="AD64" s="9">
        <f t="shared" si="29"/>
        <v>0</v>
      </c>
      <c r="AE64" s="37">
        <f t="shared" si="29"/>
        <v>-236786.80000000005</v>
      </c>
      <c r="AF64" s="9">
        <f t="shared" si="29"/>
        <v>0</v>
      </c>
      <c r="AG64" s="37">
        <f t="shared" si="29"/>
        <v>-440434.4</v>
      </c>
      <c r="AH64" s="49">
        <f t="shared" si="29"/>
        <v>0</v>
      </c>
      <c r="AI64" s="37">
        <f t="shared" si="29"/>
        <v>-1305722.4000000001</v>
      </c>
      <c r="AJ64" s="9">
        <f t="shared" si="29"/>
        <v>0</v>
      </c>
      <c r="AK64" s="37">
        <f t="shared" si="29"/>
        <v>2023852</v>
      </c>
      <c r="AL64" s="9">
        <f t="shared" si="29"/>
        <v>0</v>
      </c>
      <c r="AM64" s="37">
        <f>AM60-AM63+AM62</f>
        <v>-9364417.8000000007</v>
      </c>
      <c r="AN64" s="9">
        <f>AN60-AN63+AN62</f>
        <v>-8661255.0999999996</v>
      </c>
    </row>
    <row r="65" spans="1:40" s="16" customFormat="1" ht="20.25" customHeight="1" thickBot="1" x14ac:dyDescent="0.2">
      <c r="A65" s="210" t="s">
        <v>61</v>
      </c>
      <c r="B65" s="211"/>
      <c r="C65" s="38" t="str">
        <f t="shared" ref="C65:AN65" si="30">IF(C11=0,"        ― ",C64/C5)</f>
        <v xml:space="preserve">        ― </v>
      </c>
      <c r="D65" s="10" t="str">
        <f t="shared" si="30"/>
        <v xml:space="preserve">        ― </v>
      </c>
      <c r="E65" s="38" t="str">
        <f t="shared" si="30"/>
        <v xml:space="preserve">        ― </v>
      </c>
      <c r="F65" s="10" t="str">
        <f t="shared" si="30"/>
        <v xml:space="preserve">        ― </v>
      </c>
      <c r="G65" s="38" t="str">
        <f t="shared" si="30"/>
        <v xml:space="preserve">        ― </v>
      </c>
      <c r="H65" s="50" t="str">
        <f t="shared" si="30"/>
        <v xml:space="preserve">        ― </v>
      </c>
      <c r="I65" s="38" t="str">
        <f t="shared" si="30"/>
        <v xml:space="preserve">        ― </v>
      </c>
      <c r="J65" s="10" t="str">
        <f t="shared" si="30"/>
        <v xml:space="preserve">        ― </v>
      </c>
      <c r="K65" s="38">
        <f t="shared" si="30"/>
        <v>-1.0525910376790659</v>
      </c>
      <c r="L65" s="10" t="str">
        <f t="shared" si="30"/>
        <v xml:space="preserve">        ― </v>
      </c>
      <c r="M65" s="38">
        <f t="shared" si="30"/>
        <v>-0.45261624232574943</v>
      </c>
      <c r="N65" s="10" t="str">
        <f t="shared" si="30"/>
        <v xml:space="preserve">        ― </v>
      </c>
      <c r="O65" s="38">
        <f t="shared" si="30"/>
        <v>-0.30302841980658879</v>
      </c>
      <c r="P65" s="50" t="str">
        <f t="shared" si="30"/>
        <v xml:space="preserve">        ― </v>
      </c>
      <c r="Q65" s="38">
        <f t="shared" si="30"/>
        <v>-0.34173197303478992</v>
      </c>
      <c r="R65" s="10" t="str">
        <f t="shared" si="30"/>
        <v xml:space="preserve">        ― </v>
      </c>
      <c r="S65" s="38">
        <f t="shared" si="30"/>
        <v>-0.34173197303478992</v>
      </c>
      <c r="T65" s="10" t="str">
        <f t="shared" si="30"/>
        <v xml:space="preserve">        ― </v>
      </c>
      <c r="U65" s="38">
        <f t="shared" si="30"/>
        <v>-0.16444769703030809</v>
      </c>
      <c r="V65" s="10" t="str">
        <f t="shared" si="30"/>
        <v xml:space="preserve">        ― </v>
      </c>
      <c r="W65" s="38">
        <f t="shared" si="30"/>
        <v>-9.108156480360291E-2</v>
      </c>
      <c r="X65" s="10" t="str">
        <f t="shared" si="30"/>
        <v xml:space="preserve">        ― </v>
      </c>
      <c r="Y65" s="38">
        <f t="shared" si="30"/>
        <v>-0.10965532511307161</v>
      </c>
      <c r="Z65" s="50" t="str">
        <f t="shared" si="30"/>
        <v xml:space="preserve">        ― </v>
      </c>
      <c r="AA65" s="38">
        <f t="shared" si="30"/>
        <v>0.14735864154256864</v>
      </c>
      <c r="AB65" s="10" t="str">
        <f t="shared" si="30"/>
        <v xml:space="preserve">        ― </v>
      </c>
      <c r="AC65" s="38">
        <f t="shared" si="30"/>
        <v>-5.254112997070743E-2</v>
      </c>
      <c r="AD65" s="10" t="str">
        <f t="shared" si="30"/>
        <v xml:space="preserve">        ― </v>
      </c>
      <c r="AE65" s="38">
        <f t="shared" si="30"/>
        <v>-1.6195733061930249E-2</v>
      </c>
      <c r="AF65" s="10" t="str">
        <f t="shared" si="30"/>
        <v xml:space="preserve">        ― </v>
      </c>
      <c r="AG65" s="38">
        <f t="shared" si="30"/>
        <v>-2.5490226037354968E-2</v>
      </c>
      <c r="AH65" s="50" t="str">
        <f t="shared" si="30"/>
        <v xml:space="preserve">        ― </v>
      </c>
      <c r="AI65" s="38">
        <f t="shared" si="30"/>
        <v>-2.9769580966764068E-2</v>
      </c>
      <c r="AJ65" s="10" t="str">
        <f t="shared" si="30"/>
        <v xml:space="preserve">        ― </v>
      </c>
      <c r="AK65" s="38">
        <f t="shared" si="30"/>
        <v>3.0454014686409053E-2</v>
      </c>
      <c r="AL65" s="10" t="str">
        <f t="shared" si="30"/>
        <v xml:space="preserve">        ― </v>
      </c>
      <c r="AM65" s="38">
        <f t="shared" si="30"/>
        <v>-0.12581388168756127</v>
      </c>
      <c r="AN65" s="10" t="str">
        <f t="shared" si="30"/>
        <v xml:space="preserve">        ― </v>
      </c>
    </row>
  </sheetData>
  <mergeCells count="36">
    <mergeCell ref="C1:I1"/>
    <mergeCell ref="K1:S1"/>
    <mergeCell ref="U1:AA1"/>
    <mergeCell ref="AC1:AN1"/>
    <mergeCell ref="A2:B2"/>
    <mergeCell ref="A21:B21"/>
    <mergeCell ref="W3:X3"/>
    <mergeCell ref="Y3:Z3"/>
    <mergeCell ref="AA3:AB3"/>
    <mergeCell ref="AC3:AD3"/>
    <mergeCell ref="K3:L3"/>
    <mergeCell ref="M3:N3"/>
    <mergeCell ref="O3:P3"/>
    <mergeCell ref="Q3:R3"/>
    <mergeCell ref="S3:T3"/>
    <mergeCell ref="U3:V3"/>
    <mergeCell ref="A3:B3"/>
    <mergeCell ref="C3:D3"/>
    <mergeCell ref="E3:F3"/>
    <mergeCell ref="G3:H3"/>
    <mergeCell ref="I3:J3"/>
    <mergeCell ref="AI3:AJ3"/>
    <mergeCell ref="AK3:AL3"/>
    <mergeCell ref="AM3:AN3"/>
    <mergeCell ref="A4:B4"/>
    <mergeCell ref="A5:B5"/>
    <mergeCell ref="AE3:AF3"/>
    <mergeCell ref="AG3:AH3"/>
    <mergeCell ref="A64:B64"/>
    <mergeCell ref="A65:B65"/>
    <mergeCell ref="A22:B22"/>
    <mergeCell ref="A59:B59"/>
    <mergeCell ref="A60:B60"/>
    <mergeCell ref="A61:B61"/>
    <mergeCell ref="A62:B62"/>
    <mergeCell ref="A63:B63"/>
  </mergeCells>
  <phoneticPr fontId="3"/>
  <printOptions horizontalCentered="1"/>
  <pageMargins left="0.59055118110236227" right="0" top="0.9055118110236221" bottom="0.15748031496062992" header="0.59055118110236227" footer="0"/>
  <pageSetup paperSize="8" scale="55" fitToWidth="2" orientation="landscape" r:id="rId1"/>
  <headerFooter alignWithMargins="0">
    <oddHeader xml:space="preserve">&amp;L&amp;D&amp;T&amp;C&amp;"ＭＳ Ｐゴシック,太字"&amp;20第22期　売上・粗利・経費　実績 計画&amp;R
</oddHeader>
    <oddFooter xml:space="preserve">&amp;R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N66"/>
  <sheetViews>
    <sheetView view="pageBreakPreview" zoomScale="70" zoomScaleNormal="70" zoomScaleSheetLayoutView="70" workbookViewId="0">
      <pane xSplit="2" ySplit="1" topLeftCell="K2" activePane="bottomRight" state="frozen"/>
      <selection activeCell="X29" sqref="X29"/>
      <selection pane="topRight" activeCell="X29" sqref="X29"/>
      <selection pane="bottomLeft" activeCell="X29" sqref="X29"/>
      <selection pane="bottomRight" sqref="A1:XFD1048576"/>
    </sheetView>
  </sheetViews>
  <sheetFormatPr defaultRowHeight="14.25" outlineLevelCol="2" x14ac:dyDescent="0.15"/>
  <cols>
    <col min="1" max="1" width="9" style="2" customWidth="1"/>
    <col min="2" max="2" width="18.625" style="2" customWidth="1"/>
    <col min="3" max="3" width="13.25" style="2" customWidth="1" outlineLevel="2"/>
    <col min="4" max="4" width="13.25" style="2" customWidth="1" outlineLevel="1"/>
    <col min="5" max="5" width="13.25" style="2" customWidth="1" outlineLevel="2"/>
    <col min="6" max="6" width="13.25" style="2" customWidth="1" outlineLevel="1"/>
    <col min="7" max="7" width="13.25" style="2" customWidth="1" outlineLevel="2"/>
    <col min="8" max="8" width="13.25" style="2" customWidth="1" outlineLevel="1"/>
    <col min="9" max="10" width="13.25" style="2" hidden="1" customWidth="1"/>
    <col min="11" max="11" width="13.25" style="2" customWidth="1" outlineLevel="2"/>
    <col min="12" max="12" width="13.25" style="2" customWidth="1" outlineLevel="1"/>
    <col min="13" max="13" width="13.25" style="2" customWidth="1" outlineLevel="2"/>
    <col min="14" max="14" width="13.25" style="2" customWidth="1" outlineLevel="1"/>
    <col min="15" max="15" width="13.25" style="2" customWidth="1" outlineLevel="2"/>
    <col min="16" max="16" width="13.25" style="2" customWidth="1" outlineLevel="1"/>
    <col min="17" max="20" width="13.25" style="2" hidden="1" customWidth="1"/>
    <col min="21" max="21" width="13.25" style="2" customWidth="1" outlineLevel="2"/>
    <col min="22" max="22" width="13.25" style="2" customWidth="1" outlineLevel="1"/>
    <col min="23" max="23" width="13.25" style="2" customWidth="1" outlineLevel="2"/>
    <col min="24" max="24" width="13.25" style="2" customWidth="1" outlineLevel="1"/>
    <col min="25" max="25" width="13.25" style="2" customWidth="1" outlineLevel="2"/>
    <col min="26" max="26" width="13.25" style="2" customWidth="1" outlineLevel="1"/>
    <col min="27" max="28" width="13.25" style="2" hidden="1" customWidth="1"/>
    <col min="29" max="29" width="13.25" style="2" customWidth="1" outlineLevel="2"/>
    <col min="30" max="30" width="13.25" style="2" customWidth="1" outlineLevel="1"/>
    <col min="31" max="31" width="13.25" style="2" customWidth="1" outlineLevel="2"/>
    <col min="32" max="32" width="13.25" style="2" customWidth="1" outlineLevel="1"/>
    <col min="33" max="33" width="13.25" style="2" customWidth="1" outlineLevel="2"/>
    <col min="34" max="34" width="13.25" style="2" customWidth="1" outlineLevel="1"/>
    <col min="35" max="38" width="13.25" style="2" hidden="1" customWidth="1"/>
    <col min="39" max="39" width="14.125" style="2" customWidth="1"/>
    <col min="40" max="40" width="15" style="2" customWidth="1"/>
    <col min="41" max="274" width="9" style="2"/>
    <col min="275" max="275" width="9" style="2" customWidth="1"/>
    <col min="276" max="276" width="18.625" style="2" customWidth="1"/>
    <col min="277" max="277" width="0" style="2" hidden="1" customWidth="1"/>
    <col min="278" max="296" width="13.25" style="2" customWidth="1"/>
    <col min="297" max="530" width="9" style="2"/>
    <col min="531" max="531" width="9" style="2" customWidth="1"/>
    <col min="532" max="532" width="18.625" style="2" customWidth="1"/>
    <col min="533" max="533" width="0" style="2" hidden="1" customWidth="1"/>
    <col min="534" max="552" width="13.25" style="2" customWidth="1"/>
    <col min="553" max="786" width="9" style="2"/>
    <col min="787" max="787" width="9" style="2" customWidth="1"/>
    <col min="788" max="788" width="18.625" style="2" customWidth="1"/>
    <col min="789" max="789" width="0" style="2" hidden="1" customWidth="1"/>
    <col min="790" max="808" width="13.25" style="2" customWidth="1"/>
    <col min="809" max="1042" width="9" style="2"/>
    <col min="1043" max="1043" width="9" style="2" customWidth="1"/>
    <col min="1044" max="1044" width="18.625" style="2" customWidth="1"/>
    <col min="1045" max="1045" width="0" style="2" hidden="1" customWidth="1"/>
    <col min="1046" max="1064" width="13.25" style="2" customWidth="1"/>
    <col min="1065" max="1298" width="9" style="2"/>
    <col min="1299" max="1299" width="9" style="2" customWidth="1"/>
    <col min="1300" max="1300" width="18.625" style="2" customWidth="1"/>
    <col min="1301" max="1301" width="0" style="2" hidden="1" customWidth="1"/>
    <col min="1302" max="1320" width="13.25" style="2" customWidth="1"/>
    <col min="1321" max="1554" width="9" style="2"/>
    <col min="1555" max="1555" width="9" style="2" customWidth="1"/>
    <col min="1556" max="1556" width="18.625" style="2" customWidth="1"/>
    <col min="1557" max="1557" width="0" style="2" hidden="1" customWidth="1"/>
    <col min="1558" max="1576" width="13.25" style="2" customWidth="1"/>
    <col min="1577" max="1810" width="9" style="2"/>
    <col min="1811" max="1811" width="9" style="2" customWidth="1"/>
    <col min="1812" max="1812" width="18.625" style="2" customWidth="1"/>
    <col min="1813" max="1813" width="0" style="2" hidden="1" customWidth="1"/>
    <col min="1814" max="1832" width="13.25" style="2" customWidth="1"/>
    <col min="1833" max="2066" width="9" style="2"/>
    <col min="2067" max="2067" width="9" style="2" customWidth="1"/>
    <col min="2068" max="2068" width="18.625" style="2" customWidth="1"/>
    <col min="2069" max="2069" width="0" style="2" hidden="1" customWidth="1"/>
    <col min="2070" max="2088" width="13.25" style="2" customWidth="1"/>
    <col min="2089" max="2322" width="9" style="2"/>
    <col min="2323" max="2323" width="9" style="2" customWidth="1"/>
    <col min="2324" max="2324" width="18.625" style="2" customWidth="1"/>
    <col min="2325" max="2325" width="0" style="2" hidden="1" customWidth="1"/>
    <col min="2326" max="2344" width="13.25" style="2" customWidth="1"/>
    <col min="2345" max="2578" width="9" style="2"/>
    <col min="2579" max="2579" width="9" style="2" customWidth="1"/>
    <col min="2580" max="2580" width="18.625" style="2" customWidth="1"/>
    <col min="2581" max="2581" width="0" style="2" hidden="1" customWidth="1"/>
    <col min="2582" max="2600" width="13.25" style="2" customWidth="1"/>
    <col min="2601" max="2834" width="9" style="2"/>
    <col min="2835" max="2835" width="9" style="2" customWidth="1"/>
    <col min="2836" max="2836" width="18.625" style="2" customWidth="1"/>
    <col min="2837" max="2837" width="0" style="2" hidden="1" customWidth="1"/>
    <col min="2838" max="2856" width="13.25" style="2" customWidth="1"/>
    <col min="2857" max="3090" width="9" style="2"/>
    <col min="3091" max="3091" width="9" style="2" customWidth="1"/>
    <col min="3092" max="3092" width="18.625" style="2" customWidth="1"/>
    <col min="3093" max="3093" width="0" style="2" hidden="1" customWidth="1"/>
    <col min="3094" max="3112" width="13.25" style="2" customWidth="1"/>
    <col min="3113" max="3346" width="9" style="2"/>
    <col min="3347" max="3347" width="9" style="2" customWidth="1"/>
    <col min="3348" max="3348" width="18.625" style="2" customWidth="1"/>
    <col min="3349" max="3349" width="0" style="2" hidden="1" customWidth="1"/>
    <col min="3350" max="3368" width="13.25" style="2" customWidth="1"/>
    <col min="3369" max="3602" width="9" style="2"/>
    <col min="3603" max="3603" width="9" style="2" customWidth="1"/>
    <col min="3604" max="3604" width="18.625" style="2" customWidth="1"/>
    <col min="3605" max="3605" width="0" style="2" hidden="1" customWidth="1"/>
    <col min="3606" max="3624" width="13.25" style="2" customWidth="1"/>
    <col min="3625" max="3858" width="9" style="2"/>
    <col min="3859" max="3859" width="9" style="2" customWidth="1"/>
    <col min="3860" max="3860" width="18.625" style="2" customWidth="1"/>
    <col min="3861" max="3861" width="0" style="2" hidden="1" customWidth="1"/>
    <col min="3862" max="3880" width="13.25" style="2" customWidth="1"/>
    <col min="3881" max="4114" width="9" style="2"/>
    <col min="4115" max="4115" width="9" style="2" customWidth="1"/>
    <col min="4116" max="4116" width="18.625" style="2" customWidth="1"/>
    <col min="4117" max="4117" width="0" style="2" hidden="1" customWidth="1"/>
    <col min="4118" max="4136" width="13.25" style="2" customWidth="1"/>
    <col min="4137" max="4370" width="9" style="2"/>
    <col min="4371" max="4371" width="9" style="2" customWidth="1"/>
    <col min="4372" max="4372" width="18.625" style="2" customWidth="1"/>
    <col min="4373" max="4373" width="0" style="2" hidden="1" customWidth="1"/>
    <col min="4374" max="4392" width="13.25" style="2" customWidth="1"/>
    <col min="4393" max="4626" width="9" style="2"/>
    <col min="4627" max="4627" width="9" style="2" customWidth="1"/>
    <col min="4628" max="4628" width="18.625" style="2" customWidth="1"/>
    <col min="4629" max="4629" width="0" style="2" hidden="1" customWidth="1"/>
    <col min="4630" max="4648" width="13.25" style="2" customWidth="1"/>
    <col min="4649" max="4882" width="9" style="2"/>
    <col min="4883" max="4883" width="9" style="2" customWidth="1"/>
    <col min="4884" max="4884" width="18.625" style="2" customWidth="1"/>
    <col min="4885" max="4885" width="0" style="2" hidden="1" customWidth="1"/>
    <col min="4886" max="4904" width="13.25" style="2" customWidth="1"/>
    <col min="4905" max="5138" width="9" style="2"/>
    <col min="5139" max="5139" width="9" style="2" customWidth="1"/>
    <col min="5140" max="5140" width="18.625" style="2" customWidth="1"/>
    <col min="5141" max="5141" width="0" style="2" hidden="1" customWidth="1"/>
    <col min="5142" max="5160" width="13.25" style="2" customWidth="1"/>
    <col min="5161" max="5394" width="9" style="2"/>
    <col min="5395" max="5395" width="9" style="2" customWidth="1"/>
    <col min="5396" max="5396" width="18.625" style="2" customWidth="1"/>
    <col min="5397" max="5397" width="0" style="2" hidden="1" customWidth="1"/>
    <col min="5398" max="5416" width="13.25" style="2" customWidth="1"/>
    <col min="5417" max="5650" width="9" style="2"/>
    <col min="5651" max="5651" width="9" style="2" customWidth="1"/>
    <col min="5652" max="5652" width="18.625" style="2" customWidth="1"/>
    <col min="5653" max="5653" width="0" style="2" hidden="1" customWidth="1"/>
    <col min="5654" max="5672" width="13.25" style="2" customWidth="1"/>
    <col min="5673" max="5906" width="9" style="2"/>
    <col min="5907" max="5907" width="9" style="2" customWidth="1"/>
    <col min="5908" max="5908" width="18.625" style="2" customWidth="1"/>
    <col min="5909" max="5909" width="0" style="2" hidden="1" customWidth="1"/>
    <col min="5910" max="5928" width="13.25" style="2" customWidth="1"/>
    <col min="5929" max="6162" width="9" style="2"/>
    <col min="6163" max="6163" width="9" style="2" customWidth="1"/>
    <col min="6164" max="6164" width="18.625" style="2" customWidth="1"/>
    <col min="6165" max="6165" width="0" style="2" hidden="1" customWidth="1"/>
    <col min="6166" max="6184" width="13.25" style="2" customWidth="1"/>
    <col min="6185" max="6418" width="9" style="2"/>
    <col min="6419" max="6419" width="9" style="2" customWidth="1"/>
    <col min="6420" max="6420" width="18.625" style="2" customWidth="1"/>
    <col min="6421" max="6421" width="0" style="2" hidden="1" customWidth="1"/>
    <col min="6422" max="6440" width="13.25" style="2" customWidth="1"/>
    <col min="6441" max="6674" width="9" style="2"/>
    <col min="6675" max="6675" width="9" style="2" customWidth="1"/>
    <col min="6676" max="6676" width="18.625" style="2" customWidth="1"/>
    <col min="6677" max="6677" width="0" style="2" hidden="1" customWidth="1"/>
    <col min="6678" max="6696" width="13.25" style="2" customWidth="1"/>
    <col min="6697" max="6930" width="9" style="2"/>
    <col min="6931" max="6931" width="9" style="2" customWidth="1"/>
    <col min="6932" max="6932" width="18.625" style="2" customWidth="1"/>
    <col min="6933" max="6933" width="0" style="2" hidden="1" customWidth="1"/>
    <col min="6934" max="6952" width="13.25" style="2" customWidth="1"/>
    <col min="6953" max="7186" width="9" style="2"/>
    <col min="7187" max="7187" width="9" style="2" customWidth="1"/>
    <col min="7188" max="7188" width="18.625" style="2" customWidth="1"/>
    <col min="7189" max="7189" width="0" style="2" hidden="1" customWidth="1"/>
    <col min="7190" max="7208" width="13.25" style="2" customWidth="1"/>
    <col min="7209" max="7442" width="9" style="2"/>
    <col min="7443" max="7443" width="9" style="2" customWidth="1"/>
    <col min="7444" max="7444" width="18.625" style="2" customWidth="1"/>
    <col min="7445" max="7445" width="0" style="2" hidden="1" customWidth="1"/>
    <col min="7446" max="7464" width="13.25" style="2" customWidth="1"/>
    <col min="7465" max="7698" width="9" style="2"/>
    <col min="7699" max="7699" width="9" style="2" customWidth="1"/>
    <col min="7700" max="7700" width="18.625" style="2" customWidth="1"/>
    <col min="7701" max="7701" width="0" style="2" hidden="1" customWidth="1"/>
    <col min="7702" max="7720" width="13.25" style="2" customWidth="1"/>
    <col min="7721" max="7954" width="9" style="2"/>
    <col min="7955" max="7955" width="9" style="2" customWidth="1"/>
    <col min="7956" max="7956" width="18.625" style="2" customWidth="1"/>
    <col min="7957" max="7957" width="0" style="2" hidden="1" customWidth="1"/>
    <col min="7958" max="7976" width="13.25" style="2" customWidth="1"/>
    <col min="7977" max="8210" width="9" style="2"/>
    <col min="8211" max="8211" width="9" style="2" customWidth="1"/>
    <col min="8212" max="8212" width="18.625" style="2" customWidth="1"/>
    <col min="8213" max="8213" width="0" style="2" hidden="1" customWidth="1"/>
    <col min="8214" max="8232" width="13.25" style="2" customWidth="1"/>
    <col min="8233" max="8466" width="9" style="2"/>
    <col min="8467" max="8467" width="9" style="2" customWidth="1"/>
    <col min="8468" max="8468" width="18.625" style="2" customWidth="1"/>
    <col min="8469" max="8469" width="0" style="2" hidden="1" customWidth="1"/>
    <col min="8470" max="8488" width="13.25" style="2" customWidth="1"/>
    <col min="8489" max="8722" width="9" style="2"/>
    <col min="8723" max="8723" width="9" style="2" customWidth="1"/>
    <col min="8724" max="8724" width="18.625" style="2" customWidth="1"/>
    <col min="8725" max="8725" width="0" style="2" hidden="1" customWidth="1"/>
    <col min="8726" max="8744" width="13.25" style="2" customWidth="1"/>
    <col min="8745" max="8978" width="9" style="2"/>
    <col min="8979" max="8979" width="9" style="2" customWidth="1"/>
    <col min="8980" max="8980" width="18.625" style="2" customWidth="1"/>
    <col min="8981" max="8981" width="0" style="2" hidden="1" customWidth="1"/>
    <col min="8982" max="9000" width="13.25" style="2" customWidth="1"/>
    <col min="9001" max="9234" width="9" style="2"/>
    <col min="9235" max="9235" width="9" style="2" customWidth="1"/>
    <col min="9236" max="9236" width="18.625" style="2" customWidth="1"/>
    <col min="9237" max="9237" width="0" style="2" hidden="1" customWidth="1"/>
    <col min="9238" max="9256" width="13.25" style="2" customWidth="1"/>
    <col min="9257" max="9490" width="9" style="2"/>
    <col min="9491" max="9491" width="9" style="2" customWidth="1"/>
    <col min="9492" max="9492" width="18.625" style="2" customWidth="1"/>
    <col min="9493" max="9493" width="0" style="2" hidden="1" customWidth="1"/>
    <col min="9494" max="9512" width="13.25" style="2" customWidth="1"/>
    <col min="9513" max="9746" width="9" style="2"/>
    <col min="9747" max="9747" width="9" style="2" customWidth="1"/>
    <col min="9748" max="9748" width="18.625" style="2" customWidth="1"/>
    <col min="9749" max="9749" width="0" style="2" hidden="1" customWidth="1"/>
    <col min="9750" max="9768" width="13.25" style="2" customWidth="1"/>
    <col min="9769" max="10002" width="9" style="2"/>
    <col min="10003" max="10003" width="9" style="2" customWidth="1"/>
    <col min="10004" max="10004" width="18.625" style="2" customWidth="1"/>
    <col min="10005" max="10005" width="0" style="2" hidden="1" customWidth="1"/>
    <col min="10006" max="10024" width="13.25" style="2" customWidth="1"/>
    <col min="10025" max="10258" width="9" style="2"/>
    <col min="10259" max="10259" width="9" style="2" customWidth="1"/>
    <col min="10260" max="10260" width="18.625" style="2" customWidth="1"/>
    <col min="10261" max="10261" width="0" style="2" hidden="1" customWidth="1"/>
    <col min="10262" max="10280" width="13.25" style="2" customWidth="1"/>
    <col min="10281" max="10514" width="9" style="2"/>
    <col min="10515" max="10515" width="9" style="2" customWidth="1"/>
    <col min="10516" max="10516" width="18.625" style="2" customWidth="1"/>
    <col min="10517" max="10517" width="0" style="2" hidden="1" customWidth="1"/>
    <col min="10518" max="10536" width="13.25" style="2" customWidth="1"/>
    <col min="10537" max="10770" width="9" style="2"/>
    <col min="10771" max="10771" width="9" style="2" customWidth="1"/>
    <col min="10772" max="10772" width="18.625" style="2" customWidth="1"/>
    <col min="10773" max="10773" width="0" style="2" hidden="1" customWidth="1"/>
    <col min="10774" max="10792" width="13.25" style="2" customWidth="1"/>
    <col min="10793" max="11026" width="9" style="2"/>
    <col min="11027" max="11027" width="9" style="2" customWidth="1"/>
    <col min="11028" max="11028" width="18.625" style="2" customWidth="1"/>
    <col min="11029" max="11029" width="0" style="2" hidden="1" customWidth="1"/>
    <col min="11030" max="11048" width="13.25" style="2" customWidth="1"/>
    <col min="11049" max="11282" width="9" style="2"/>
    <col min="11283" max="11283" width="9" style="2" customWidth="1"/>
    <col min="11284" max="11284" width="18.625" style="2" customWidth="1"/>
    <col min="11285" max="11285" width="0" style="2" hidden="1" customWidth="1"/>
    <col min="11286" max="11304" width="13.25" style="2" customWidth="1"/>
    <col min="11305" max="11538" width="9" style="2"/>
    <col min="11539" max="11539" width="9" style="2" customWidth="1"/>
    <col min="11540" max="11540" width="18.625" style="2" customWidth="1"/>
    <col min="11541" max="11541" width="0" style="2" hidden="1" customWidth="1"/>
    <col min="11542" max="11560" width="13.25" style="2" customWidth="1"/>
    <col min="11561" max="11794" width="9" style="2"/>
    <col min="11795" max="11795" width="9" style="2" customWidth="1"/>
    <col min="11796" max="11796" width="18.625" style="2" customWidth="1"/>
    <col min="11797" max="11797" width="0" style="2" hidden="1" customWidth="1"/>
    <col min="11798" max="11816" width="13.25" style="2" customWidth="1"/>
    <col min="11817" max="12050" width="9" style="2"/>
    <col min="12051" max="12051" width="9" style="2" customWidth="1"/>
    <col min="12052" max="12052" width="18.625" style="2" customWidth="1"/>
    <col min="12053" max="12053" width="0" style="2" hidden="1" customWidth="1"/>
    <col min="12054" max="12072" width="13.25" style="2" customWidth="1"/>
    <col min="12073" max="12306" width="9" style="2"/>
    <col min="12307" max="12307" width="9" style="2" customWidth="1"/>
    <col min="12308" max="12308" width="18.625" style="2" customWidth="1"/>
    <col min="12309" max="12309" width="0" style="2" hidden="1" customWidth="1"/>
    <col min="12310" max="12328" width="13.25" style="2" customWidth="1"/>
    <col min="12329" max="12562" width="9" style="2"/>
    <col min="12563" max="12563" width="9" style="2" customWidth="1"/>
    <col min="12564" max="12564" width="18.625" style="2" customWidth="1"/>
    <col min="12565" max="12565" width="0" style="2" hidden="1" customWidth="1"/>
    <col min="12566" max="12584" width="13.25" style="2" customWidth="1"/>
    <col min="12585" max="12818" width="9" style="2"/>
    <col min="12819" max="12819" width="9" style="2" customWidth="1"/>
    <col min="12820" max="12820" width="18.625" style="2" customWidth="1"/>
    <col min="12821" max="12821" width="0" style="2" hidden="1" customWidth="1"/>
    <col min="12822" max="12840" width="13.25" style="2" customWidth="1"/>
    <col min="12841" max="13074" width="9" style="2"/>
    <col min="13075" max="13075" width="9" style="2" customWidth="1"/>
    <col min="13076" max="13076" width="18.625" style="2" customWidth="1"/>
    <col min="13077" max="13077" width="0" style="2" hidden="1" customWidth="1"/>
    <col min="13078" max="13096" width="13.25" style="2" customWidth="1"/>
    <col min="13097" max="13330" width="9" style="2"/>
    <col min="13331" max="13331" width="9" style="2" customWidth="1"/>
    <col min="13332" max="13332" width="18.625" style="2" customWidth="1"/>
    <col min="13333" max="13333" width="0" style="2" hidden="1" customWidth="1"/>
    <col min="13334" max="13352" width="13.25" style="2" customWidth="1"/>
    <col min="13353" max="13586" width="9" style="2"/>
    <col min="13587" max="13587" width="9" style="2" customWidth="1"/>
    <col min="13588" max="13588" width="18.625" style="2" customWidth="1"/>
    <col min="13589" max="13589" width="0" style="2" hidden="1" customWidth="1"/>
    <col min="13590" max="13608" width="13.25" style="2" customWidth="1"/>
    <col min="13609" max="13842" width="9" style="2"/>
    <col min="13843" max="13843" width="9" style="2" customWidth="1"/>
    <col min="13844" max="13844" width="18.625" style="2" customWidth="1"/>
    <col min="13845" max="13845" width="0" style="2" hidden="1" customWidth="1"/>
    <col min="13846" max="13864" width="13.25" style="2" customWidth="1"/>
    <col min="13865" max="14098" width="9" style="2"/>
    <col min="14099" max="14099" width="9" style="2" customWidth="1"/>
    <col min="14100" max="14100" width="18.625" style="2" customWidth="1"/>
    <col min="14101" max="14101" width="0" style="2" hidden="1" customWidth="1"/>
    <col min="14102" max="14120" width="13.25" style="2" customWidth="1"/>
    <col min="14121" max="14354" width="9" style="2"/>
    <col min="14355" max="14355" width="9" style="2" customWidth="1"/>
    <col min="14356" max="14356" width="18.625" style="2" customWidth="1"/>
    <col min="14357" max="14357" width="0" style="2" hidden="1" customWidth="1"/>
    <col min="14358" max="14376" width="13.25" style="2" customWidth="1"/>
    <col min="14377" max="14610" width="9" style="2"/>
    <col min="14611" max="14611" width="9" style="2" customWidth="1"/>
    <col min="14612" max="14612" width="18.625" style="2" customWidth="1"/>
    <col min="14613" max="14613" width="0" style="2" hidden="1" customWidth="1"/>
    <col min="14614" max="14632" width="13.25" style="2" customWidth="1"/>
    <col min="14633" max="14866" width="9" style="2"/>
    <col min="14867" max="14867" width="9" style="2" customWidth="1"/>
    <col min="14868" max="14868" width="18.625" style="2" customWidth="1"/>
    <col min="14869" max="14869" width="0" style="2" hidden="1" customWidth="1"/>
    <col min="14870" max="14888" width="13.25" style="2" customWidth="1"/>
    <col min="14889" max="15122" width="9" style="2"/>
    <col min="15123" max="15123" width="9" style="2" customWidth="1"/>
    <col min="15124" max="15124" width="18.625" style="2" customWidth="1"/>
    <col min="15125" max="15125" width="0" style="2" hidden="1" customWidth="1"/>
    <col min="15126" max="15144" width="13.25" style="2" customWidth="1"/>
    <col min="15145" max="15378" width="9" style="2"/>
    <col min="15379" max="15379" width="9" style="2" customWidth="1"/>
    <col min="15380" max="15380" width="18.625" style="2" customWidth="1"/>
    <col min="15381" max="15381" width="0" style="2" hidden="1" customWidth="1"/>
    <col min="15382" max="15400" width="13.25" style="2" customWidth="1"/>
    <col min="15401" max="15634" width="9" style="2"/>
    <col min="15635" max="15635" width="9" style="2" customWidth="1"/>
    <col min="15636" max="15636" width="18.625" style="2" customWidth="1"/>
    <col min="15637" max="15637" width="0" style="2" hidden="1" customWidth="1"/>
    <col min="15638" max="15656" width="13.25" style="2" customWidth="1"/>
    <col min="15657" max="15890" width="9" style="2"/>
    <col min="15891" max="15891" width="9" style="2" customWidth="1"/>
    <col min="15892" max="15892" width="18.625" style="2" customWidth="1"/>
    <col min="15893" max="15893" width="0" style="2" hidden="1" customWidth="1"/>
    <col min="15894" max="15912" width="13.25" style="2" customWidth="1"/>
    <col min="15913" max="16146" width="9" style="2"/>
    <col min="16147" max="16147" width="9" style="2" customWidth="1"/>
    <col min="16148" max="16148" width="18.625" style="2" customWidth="1"/>
    <col min="16149" max="16149" width="0" style="2" hidden="1" customWidth="1"/>
    <col min="16150" max="16168" width="13.25" style="2" customWidth="1"/>
    <col min="16169" max="16384" width="9" style="2"/>
  </cols>
  <sheetData>
    <row r="1" spans="1:40" ht="21" x14ac:dyDescent="0.2">
      <c r="A1" s="1"/>
      <c r="B1" s="1"/>
      <c r="C1" s="235"/>
      <c r="D1" s="235"/>
      <c r="E1" s="235"/>
      <c r="F1" s="235"/>
      <c r="G1" s="235"/>
      <c r="H1" s="235"/>
      <c r="I1" s="235"/>
      <c r="J1" s="95"/>
      <c r="K1" s="235"/>
      <c r="L1" s="235"/>
      <c r="M1" s="235"/>
      <c r="N1" s="235"/>
      <c r="O1" s="235"/>
      <c r="P1" s="235"/>
      <c r="Q1" s="235"/>
      <c r="R1" s="235"/>
      <c r="S1" s="235"/>
      <c r="T1" s="95"/>
      <c r="U1" s="235"/>
      <c r="V1" s="235"/>
      <c r="W1" s="235"/>
      <c r="X1" s="235"/>
      <c r="Y1" s="235"/>
      <c r="Z1" s="235"/>
      <c r="AA1" s="235"/>
      <c r="AB1" s="9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</row>
    <row r="2" spans="1:40" ht="19.5" thickBot="1" x14ac:dyDescent="0.2">
      <c r="A2" s="236" t="s">
        <v>164</v>
      </c>
      <c r="B2" s="236"/>
    </row>
    <row r="3" spans="1:40" ht="21" customHeight="1" thickTop="1" thickBot="1" x14ac:dyDescent="0.2">
      <c r="A3" s="220" t="s">
        <v>0</v>
      </c>
      <c r="B3" s="221"/>
      <c r="C3" s="222" t="s">
        <v>1</v>
      </c>
      <c r="D3" s="223"/>
      <c r="E3" s="222" t="s">
        <v>2</v>
      </c>
      <c r="F3" s="223"/>
      <c r="G3" s="222" t="s">
        <v>3</v>
      </c>
      <c r="H3" s="223"/>
      <c r="I3" s="224" t="s">
        <v>4</v>
      </c>
      <c r="J3" s="225"/>
      <c r="K3" s="234" t="s">
        <v>5</v>
      </c>
      <c r="L3" s="223"/>
      <c r="M3" s="222" t="s">
        <v>6</v>
      </c>
      <c r="N3" s="223"/>
      <c r="O3" s="222" t="s">
        <v>7</v>
      </c>
      <c r="P3" s="223"/>
      <c r="Q3" s="216" t="s">
        <v>8</v>
      </c>
      <c r="R3" s="217"/>
      <c r="S3" s="226" t="s">
        <v>9</v>
      </c>
      <c r="T3" s="227"/>
      <c r="U3" s="234" t="s">
        <v>10</v>
      </c>
      <c r="V3" s="223"/>
      <c r="W3" s="222" t="s">
        <v>11</v>
      </c>
      <c r="X3" s="223"/>
      <c r="Y3" s="222" t="s">
        <v>12</v>
      </c>
      <c r="Z3" s="223"/>
      <c r="AA3" s="216" t="s">
        <v>13</v>
      </c>
      <c r="AB3" s="217"/>
      <c r="AC3" s="234" t="s">
        <v>14</v>
      </c>
      <c r="AD3" s="223"/>
      <c r="AE3" s="222" t="s">
        <v>15</v>
      </c>
      <c r="AF3" s="223"/>
      <c r="AG3" s="222" t="s">
        <v>16</v>
      </c>
      <c r="AH3" s="223"/>
      <c r="AI3" s="216" t="s">
        <v>17</v>
      </c>
      <c r="AJ3" s="217"/>
      <c r="AK3" s="226" t="s">
        <v>18</v>
      </c>
      <c r="AL3" s="227"/>
      <c r="AM3" s="228" t="s">
        <v>19</v>
      </c>
      <c r="AN3" s="229"/>
    </row>
    <row r="4" spans="1:40" ht="21" customHeight="1" thickTop="1" thickBot="1" x14ac:dyDescent="0.2">
      <c r="A4" s="230" t="s">
        <v>0</v>
      </c>
      <c r="B4" s="231"/>
      <c r="C4" s="30" t="s">
        <v>20</v>
      </c>
      <c r="D4" s="94" t="s">
        <v>83</v>
      </c>
      <c r="E4" s="30" t="s">
        <v>20</v>
      </c>
      <c r="F4" s="94" t="s">
        <v>83</v>
      </c>
      <c r="G4" s="30" t="s">
        <v>20</v>
      </c>
      <c r="H4" s="183" t="s">
        <v>83</v>
      </c>
      <c r="I4" s="30" t="s">
        <v>20</v>
      </c>
      <c r="J4" s="183" t="s">
        <v>83</v>
      </c>
      <c r="K4" s="56" t="s">
        <v>20</v>
      </c>
      <c r="L4" s="94" t="s">
        <v>83</v>
      </c>
      <c r="M4" s="30" t="s">
        <v>20</v>
      </c>
      <c r="N4" s="94" t="s">
        <v>83</v>
      </c>
      <c r="O4" s="30" t="s">
        <v>20</v>
      </c>
      <c r="P4" s="183" t="s">
        <v>83</v>
      </c>
      <c r="Q4" s="30" t="s">
        <v>20</v>
      </c>
      <c r="R4" s="94" t="s">
        <v>83</v>
      </c>
      <c r="S4" s="200" t="s">
        <v>20</v>
      </c>
      <c r="T4" s="183" t="s">
        <v>83</v>
      </c>
      <c r="U4" s="56" t="s">
        <v>20</v>
      </c>
      <c r="V4" s="94" t="s">
        <v>83</v>
      </c>
      <c r="W4" s="30" t="s">
        <v>20</v>
      </c>
      <c r="X4" s="94" t="s">
        <v>83</v>
      </c>
      <c r="Y4" s="30" t="s">
        <v>20</v>
      </c>
      <c r="Z4" s="94" t="s">
        <v>83</v>
      </c>
      <c r="AA4" s="200" t="s">
        <v>20</v>
      </c>
      <c r="AB4" s="183" t="s">
        <v>83</v>
      </c>
      <c r="AC4" s="56" t="s">
        <v>20</v>
      </c>
      <c r="AD4" s="94" t="s">
        <v>83</v>
      </c>
      <c r="AE4" s="30" t="s">
        <v>20</v>
      </c>
      <c r="AF4" s="94" t="s">
        <v>83</v>
      </c>
      <c r="AG4" s="30" t="s">
        <v>20</v>
      </c>
      <c r="AH4" s="94" t="s">
        <v>83</v>
      </c>
      <c r="AI4" s="200" t="s">
        <v>20</v>
      </c>
      <c r="AJ4" s="183" t="s">
        <v>83</v>
      </c>
      <c r="AK4" s="30" t="s">
        <v>20</v>
      </c>
      <c r="AL4" s="94" t="s">
        <v>83</v>
      </c>
      <c r="AM4" s="56" t="s">
        <v>20</v>
      </c>
      <c r="AN4" s="94" t="s">
        <v>83</v>
      </c>
    </row>
    <row r="5" spans="1:40" ht="20.25" customHeight="1" thickBot="1" x14ac:dyDescent="0.2">
      <c r="A5" s="232" t="s">
        <v>21</v>
      </c>
      <c r="B5" s="233"/>
      <c r="C5" s="31">
        <v>122000000</v>
      </c>
      <c r="D5" s="115">
        <f>名!C746</f>
        <v>127912644</v>
      </c>
      <c r="E5" s="31">
        <v>149600000</v>
      </c>
      <c r="F5" s="115">
        <f>名!D746</f>
        <v>149086818</v>
      </c>
      <c r="G5" s="31">
        <v>130000000</v>
      </c>
      <c r="H5" s="15">
        <f>名!E746</f>
        <v>140943853</v>
      </c>
      <c r="I5" s="41">
        <f>C5+E5+G5</f>
        <v>401600000</v>
      </c>
      <c r="J5" s="115">
        <f>D5+F5+H5</f>
        <v>417943315</v>
      </c>
      <c r="K5" s="57">
        <v>128700000</v>
      </c>
      <c r="L5" s="115">
        <f>名!F746</f>
        <v>137605640</v>
      </c>
      <c r="M5" s="31">
        <v>149100000</v>
      </c>
      <c r="N5" s="115">
        <f>名!G746</f>
        <v>153618244</v>
      </c>
      <c r="O5" s="31">
        <v>136000000</v>
      </c>
      <c r="P5" s="15">
        <f>名!H746</f>
        <v>147532414</v>
      </c>
      <c r="Q5" s="41">
        <f>K5+M5+O5</f>
        <v>413800000</v>
      </c>
      <c r="R5" s="115">
        <f>L5+N5+P5</f>
        <v>438756298</v>
      </c>
      <c r="S5" s="149">
        <f>I5+Q5</f>
        <v>815400000</v>
      </c>
      <c r="T5" s="115">
        <f>J5+R5</f>
        <v>856699613</v>
      </c>
      <c r="U5" s="57">
        <v>141800000</v>
      </c>
      <c r="V5" s="115">
        <f>名!I746</f>
        <v>151850117</v>
      </c>
      <c r="W5" s="31">
        <v>136000000</v>
      </c>
      <c r="X5" s="115">
        <f>名!J746</f>
        <v>148525976</v>
      </c>
      <c r="Y5" s="31">
        <v>136000000</v>
      </c>
      <c r="Z5" s="15">
        <f>名!K746</f>
        <v>150236401</v>
      </c>
      <c r="AA5" s="41">
        <f>U5+W5+Y5</f>
        <v>413800000</v>
      </c>
      <c r="AB5" s="115">
        <f>V5+X5+Z5</f>
        <v>450612494</v>
      </c>
      <c r="AC5" s="57">
        <v>136000000</v>
      </c>
      <c r="AD5" s="115">
        <f>名!L746</f>
        <v>147409088</v>
      </c>
      <c r="AE5" s="31">
        <v>142800000</v>
      </c>
      <c r="AF5" s="115">
        <f>名!M746</f>
        <v>147338659</v>
      </c>
      <c r="AG5" s="31">
        <v>122000000</v>
      </c>
      <c r="AH5" s="15">
        <f>名!N746</f>
        <v>144509805</v>
      </c>
      <c r="AI5" s="41">
        <f>AC5+AE5+AG5</f>
        <v>400800000</v>
      </c>
      <c r="AJ5" s="115">
        <f>AD5+AF5+AH5</f>
        <v>439257552</v>
      </c>
      <c r="AK5" s="149">
        <f>AA5+AI5</f>
        <v>814600000</v>
      </c>
      <c r="AL5" s="115">
        <f>AB5+AJ5</f>
        <v>889870046</v>
      </c>
      <c r="AM5" s="127">
        <f>SUM(C5,E5,G5,K5,M5,O5,U5,W5,Y5,AC5,AE5,AG5)</f>
        <v>1630000000</v>
      </c>
      <c r="AN5" s="115">
        <f>SUM(D5,F5,H5,L5,N5,P5,V5,X5,Z5,AD5,AF5,AH5)</f>
        <v>1746569659</v>
      </c>
    </row>
    <row r="6" spans="1:40" ht="20.25" customHeight="1" x14ac:dyDescent="0.15">
      <c r="A6" s="25" t="s">
        <v>76</v>
      </c>
      <c r="B6" s="29" t="s">
        <v>64</v>
      </c>
      <c r="C6" s="32">
        <v>79544000</v>
      </c>
      <c r="D6" s="9">
        <f>名!C747</f>
        <v>76015944</v>
      </c>
      <c r="E6" s="32">
        <v>97539000</v>
      </c>
      <c r="F6" s="9">
        <f>名!D747</f>
        <v>92387118</v>
      </c>
      <c r="G6" s="32">
        <v>84760000</v>
      </c>
      <c r="H6" s="9">
        <f>名!E747</f>
        <v>84932462</v>
      </c>
      <c r="I6" s="37">
        <f t="shared" ref="I6:J19" si="0">C6+E6+G6</f>
        <v>261843000</v>
      </c>
      <c r="J6" s="9">
        <f t="shared" si="0"/>
        <v>253335524</v>
      </c>
      <c r="K6" s="58">
        <v>83912000</v>
      </c>
      <c r="L6" s="9">
        <f>名!F747</f>
        <v>81822260</v>
      </c>
      <c r="M6" s="32">
        <v>97213000</v>
      </c>
      <c r="N6" s="9">
        <f>名!G747</f>
        <v>94611002</v>
      </c>
      <c r="O6" s="32">
        <v>88672000</v>
      </c>
      <c r="P6" s="9">
        <f>名!H747</f>
        <v>87149723</v>
      </c>
      <c r="Q6" s="37">
        <f t="shared" ref="Q6:R19" si="1">K6+M6+O6</f>
        <v>269797000</v>
      </c>
      <c r="R6" s="9">
        <f t="shared" si="1"/>
        <v>263582985</v>
      </c>
      <c r="S6" s="37">
        <f t="shared" ref="S6:T19" si="2">I6+Q6</f>
        <v>531640000</v>
      </c>
      <c r="T6" s="9">
        <f>J6+R6</f>
        <v>516918509</v>
      </c>
      <c r="U6" s="58">
        <v>92454000</v>
      </c>
      <c r="V6" s="9">
        <f>名!I747</f>
        <v>93556012</v>
      </c>
      <c r="W6" s="32">
        <v>88672000</v>
      </c>
      <c r="X6" s="9">
        <f>名!J747</f>
        <v>87616495</v>
      </c>
      <c r="Y6" s="32">
        <v>88672000</v>
      </c>
      <c r="Z6" s="9">
        <f>名!K747</f>
        <v>88481777</v>
      </c>
      <c r="AA6" s="37">
        <f t="shared" ref="AA6:AB19" si="3">U6+W6+Y6</f>
        <v>269798000</v>
      </c>
      <c r="AB6" s="9">
        <f t="shared" si="3"/>
        <v>269654284</v>
      </c>
      <c r="AC6" s="58">
        <v>88672000</v>
      </c>
      <c r="AD6" s="9">
        <f>名!L747</f>
        <v>87949342</v>
      </c>
      <c r="AE6" s="32">
        <v>93106000</v>
      </c>
      <c r="AF6" s="9">
        <f>名!M747</f>
        <v>86859624</v>
      </c>
      <c r="AG6" s="32">
        <v>79544000</v>
      </c>
      <c r="AH6" s="9">
        <f>名!N747</f>
        <v>83596038</v>
      </c>
      <c r="AI6" s="37">
        <f t="shared" ref="AI6:AJ19" si="4">AC6+AE6+AG6</f>
        <v>261322000</v>
      </c>
      <c r="AJ6" s="9">
        <f t="shared" si="4"/>
        <v>258405004</v>
      </c>
      <c r="AK6" s="37">
        <f t="shared" ref="AK6:AL19" si="5">AA6+AI6</f>
        <v>531120000</v>
      </c>
      <c r="AL6" s="9">
        <f>AB6+AJ6</f>
        <v>528059288</v>
      </c>
      <c r="AM6" s="63">
        <f t="shared" ref="AM6:AM21" si="6">SUM(C6,E6,G6,K6,M6,O6,U6,W6,Y6,AC6,AE6,AG6)</f>
        <v>1062760000</v>
      </c>
      <c r="AN6" s="9">
        <f t="shared" ref="AN6:AN21" si="7">SUM(D6,F6,H6,L6,N6,P6,V6,X6,Z6,AD6,AF6,AH6)</f>
        <v>1044977797</v>
      </c>
    </row>
    <row r="7" spans="1:40" ht="20.25" customHeight="1" x14ac:dyDescent="0.15">
      <c r="A7" s="21" t="s">
        <v>77</v>
      </c>
      <c r="B7" s="5" t="s">
        <v>65</v>
      </c>
      <c r="C7" s="33"/>
      <c r="D7" s="116">
        <f>名!C748</f>
        <v>900266</v>
      </c>
      <c r="E7" s="33"/>
      <c r="F7" s="116">
        <f>名!D748</f>
        <v>1038444</v>
      </c>
      <c r="G7" s="33"/>
      <c r="H7" s="116">
        <f>名!E748</f>
        <v>1314263</v>
      </c>
      <c r="I7" s="150">
        <f t="shared" si="0"/>
        <v>0</v>
      </c>
      <c r="J7" s="116">
        <f t="shared" si="0"/>
        <v>3252973</v>
      </c>
      <c r="K7" s="59"/>
      <c r="L7" s="116">
        <f>名!F748</f>
        <v>1366097</v>
      </c>
      <c r="M7" s="33"/>
      <c r="N7" s="116">
        <f>名!G748</f>
        <v>1858537</v>
      </c>
      <c r="O7" s="33"/>
      <c r="P7" s="116">
        <f>名!H748</f>
        <v>2006943</v>
      </c>
      <c r="Q7" s="150">
        <f t="shared" si="1"/>
        <v>0</v>
      </c>
      <c r="R7" s="116">
        <f t="shared" si="1"/>
        <v>5231577</v>
      </c>
      <c r="S7" s="150">
        <f t="shared" si="2"/>
        <v>0</v>
      </c>
      <c r="T7" s="116">
        <f t="shared" si="2"/>
        <v>8484550</v>
      </c>
      <c r="U7" s="59"/>
      <c r="V7" s="116">
        <f>名!I748</f>
        <v>2065854</v>
      </c>
      <c r="W7" s="33"/>
      <c r="X7" s="116">
        <f>名!J748</f>
        <v>2101179</v>
      </c>
      <c r="Y7" s="33"/>
      <c r="Z7" s="116">
        <f>名!K748</f>
        <v>2583112</v>
      </c>
      <c r="AA7" s="150">
        <f t="shared" si="3"/>
        <v>0</v>
      </c>
      <c r="AB7" s="116">
        <f t="shared" si="3"/>
        <v>6750145</v>
      </c>
      <c r="AC7" s="59"/>
      <c r="AD7" s="116">
        <f>名!L748</f>
        <v>2195798</v>
      </c>
      <c r="AE7" s="33"/>
      <c r="AF7" s="116">
        <f>名!M748</f>
        <v>2285486</v>
      </c>
      <c r="AG7" s="33"/>
      <c r="AH7" s="116">
        <f>名!N748</f>
        <v>2267467</v>
      </c>
      <c r="AI7" s="150">
        <f t="shared" si="4"/>
        <v>0</v>
      </c>
      <c r="AJ7" s="116">
        <f t="shared" si="4"/>
        <v>6748751</v>
      </c>
      <c r="AK7" s="150">
        <f t="shared" si="5"/>
        <v>0</v>
      </c>
      <c r="AL7" s="116">
        <f t="shared" si="5"/>
        <v>13498896</v>
      </c>
      <c r="AM7" s="128">
        <f t="shared" si="6"/>
        <v>0</v>
      </c>
      <c r="AN7" s="116">
        <f t="shared" si="7"/>
        <v>21983446</v>
      </c>
    </row>
    <row r="8" spans="1:40" ht="20.25" customHeight="1" x14ac:dyDescent="0.15">
      <c r="A8" s="23"/>
      <c r="B8" s="5" t="s">
        <v>66</v>
      </c>
      <c r="C8" s="33"/>
      <c r="D8" s="116">
        <f>名!C750</f>
        <v>2269042</v>
      </c>
      <c r="E8" s="33"/>
      <c r="F8" s="116">
        <f>名!D750</f>
        <v>3224154</v>
      </c>
      <c r="G8" s="33"/>
      <c r="H8" s="116">
        <f>名!E750</f>
        <v>4291477</v>
      </c>
      <c r="I8" s="150">
        <f t="shared" si="0"/>
        <v>0</v>
      </c>
      <c r="J8" s="116">
        <f t="shared" si="0"/>
        <v>9784673</v>
      </c>
      <c r="K8" s="59"/>
      <c r="L8" s="116">
        <f>名!F750</f>
        <v>3847995</v>
      </c>
      <c r="M8" s="33"/>
      <c r="N8" s="116">
        <f>名!G750</f>
        <v>4278069</v>
      </c>
      <c r="O8" s="33"/>
      <c r="P8" s="116">
        <f>名!H750</f>
        <v>5917516</v>
      </c>
      <c r="Q8" s="150">
        <f t="shared" si="1"/>
        <v>0</v>
      </c>
      <c r="R8" s="116">
        <f t="shared" si="1"/>
        <v>14043580</v>
      </c>
      <c r="S8" s="150">
        <f t="shared" si="2"/>
        <v>0</v>
      </c>
      <c r="T8" s="116">
        <f t="shared" si="2"/>
        <v>23828253</v>
      </c>
      <c r="U8" s="59"/>
      <c r="V8" s="116">
        <f>名!I750</f>
        <v>5348739</v>
      </c>
      <c r="W8" s="33"/>
      <c r="X8" s="116">
        <f>名!J750</f>
        <v>6111172</v>
      </c>
      <c r="Y8" s="33"/>
      <c r="Z8" s="116">
        <f>名!K750</f>
        <v>6425139</v>
      </c>
      <c r="AA8" s="150">
        <f t="shared" si="3"/>
        <v>0</v>
      </c>
      <c r="AB8" s="116">
        <f t="shared" si="3"/>
        <v>17885050</v>
      </c>
      <c r="AC8" s="59"/>
      <c r="AD8" s="116">
        <f>名!L750</f>
        <v>5283140</v>
      </c>
      <c r="AE8" s="33"/>
      <c r="AF8" s="116">
        <f>名!M750</f>
        <v>6473335</v>
      </c>
      <c r="AG8" s="33"/>
      <c r="AH8" s="116">
        <f>名!N750</f>
        <v>6742734</v>
      </c>
      <c r="AI8" s="150">
        <f t="shared" si="4"/>
        <v>0</v>
      </c>
      <c r="AJ8" s="116">
        <f t="shared" si="4"/>
        <v>18499209</v>
      </c>
      <c r="AK8" s="150">
        <f t="shared" si="5"/>
        <v>0</v>
      </c>
      <c r="AL8" s="116">
        <f t="shared" si="5"/>
        <v>36384259</v>
      </c>
      <c r="AM8" s="128">
        <f t="shared" si="6"/>
        <v>0</v>
      </c>
      <c r="AN8" s="116">
        <f t="shared" si="7"/>
        <v>60212512</v>
      </c>
    </row>
    <row r="9" spans="1:40" ht="20.25" customHeight="1" x14ac:dyDescent="0.15">
      <c r="A9" s="23"/>
      <c r="B9" s="5" t="s">
        <v>22</v>
      </c>
      <c r="C9" s="34">
        <v>4773000</v>
      </c>
      <c r="D9" s="116">
        <f>名!C751</f>
        <v>4534186</v>
      </c>
      <c r="E9" s="34">
        <v>5852000</v>
      </c>
      <c r="F9" s="116">
        <f>名!D751</f>
        <v>4480282</v>
      </c>
      <c r="G9" s="34">
        <v>5086000</v>
      </c>
      <c r="H9" s="116">
        <f>名!E751</f>
        <v>4402201</v>
      </c>
      <c r="I9" s="151">
        <f t="shared" si="0"/>
        <v>15711000</v>
      </c>
      <c r="J9" s="117">
        <f t="shared" si="0"/>
        <v>13416669</v>
      </c>
      <c r="K9" s="60">
        <v>5035000</v>
      </c>
      <c r="L9" s="116">
        <f>名!F751</f>
        <v>4551822</v>
      </c>
      <c r="M9" s="34">
        <v>5834000</v>
      </c>
      <c r="N9" s="116">
        <f>名!G751</f>
        <v>4547182</v>
      </c>
      <c r="O9" s="34">
        <v>5320000</v>
      </c>
      <c r="P9" s="116">
        <f>名!H751</f>
        <v>4701402</v>
      </c>
      <c r="Q9" s="151">
        <f t="shared" si="1"/>
        <v>16189000</v>
      </c>
      <c r="R9" s="117">
        <f t="shared" si="1"/>
        <v>13800406</v>
      </c>
      <c r="S9" s="151">
        <f t="shared" si="2"/>
        <v>31900000</v>
      </c>
      <c r="T9" s="117">
        <f t="shared" si="2"/>
        <v>27217075</v>
      </c>
      <c r="U9" s="60">
        <v>5547000</v>
      </c>
      <c r="V9" s="116">
        <f>名!I751</f>
        <v>4820566</v>
      </c>
      <c r="W9" s="34">
        <v>5320000</v>
      </c>
      <c r="X9" s="116">
        <f>名!J751</f>
        <v>4851230</v>
      </c>
      <c r="Y9" s="34">
        <v>5320000</v>
      </c>
      <c r="Z9" s="116">
        <f>名!K751</f>
        <v>5015465</v>
      </c>
      <c r="AA9" s="151">
        <f t="shared" si="3"/>
        <v>16187000</v>
      </c>
      <c r="AB9" s="117">
        <f t="shared" si="3"/>
        <v>14687261</v>
      </c>
      <c r="AC9" s="60">
        <v>5320000</v>
      </c>
      <c r="AD9" s="116">
        <f>名!L751</f>
        <v>5064418</v>
      </c>
      <c r="AE9" s="34">
        <v>5586000</v>
      </c>
      <c r="AF9" s="116">
        <f>名!M751</f>
        <v>5022005</v>
      </c>
      <c r="AG9" s="34">
        <v>4773000</v>
      </c>
      <c r="AH9" s="116">
        <f>名!N751</f>
        <v>5067280</v>
      </c>
      <c r="AI9" s="151">
        <f t="shared" si="4"/>
        <v>15679000</v>
      </c>
      <c r="AJ9" s="117">
        <f t="shared" si="4"/>
        <v>15153703</v>
      </c>
      <c r="AK9" s="151">
        <f t="shared" si="5"/>
        <v>31866000</v>
      </c>
      <c r="AL9" s="117">
        <f t="shared" si="5"/>
        <v>29840964</v>
      </c>
      <c r="AM9" s="129">
        <f t="shared" si="6"/>
        <v>63766000</v>
      </c>
      <c r="AN9" s="117">
        <f t="shared" si="7"/>
        <v>57058039</v>
      </c>
    </row>
    <row r="10" spans="1:40" ht="20.25" customHeight="1" x14ac:dyDescent="0.15">
      <c r="A10" s="23"/>
      <c r="B10" s="5" t="s">
        <v>67</v>
      </c>
      <c r="C10" s="34"/>
      <c r="D10" s="116">
        <f>名!C752</f>
        <v>641367</v>
      </c>
      <c r="E10" s="34"/>
      <c r="F10" s="116">
        <f>名!D752</f>
        <v>578615</v>
      </c>
      <c r="G10" s="34"/>
      <c r="H10" s="116">
        <f>名!E752</f>
        <v>571169</v>
      </c>
      <c r="I10" s="151">
        <f t="shared" si="0"/>
        <v>0</v>
      </c>
      <c r="J10" s="117">
        <f t="shared" si="0"/>
        <v>1791151</v>
      </c>
      <c r="K10" s="60"/>
      <c r="L10" s="116">
        <f>名!F752</f>
        <v>598541</v>
      </c>
      <c r="M10" s="34"/>
      <c r="N10" s="116">
        <f>名!G752</f>
        <v>598090</v>
      </c>
      <c r="O10" s="34"/>
      <c r="P10" s="116">
        <f>名!H752</f>
        <v>609816</v>
      </c>
      <c r="Q10" s="151">
        <f t="shared" si="1"/>
        <v>0</v>
      </c>
      <c r="R10" s="117">
        <f t="shared" si="1"/>
        <v>1806447</v>
      </c>
      <c r="S10" s="151">
        <f t="shared" si="2"/>
        <v>0</v>
      </c>
      <c r="T10" s="117">
        <f t="shared" si="2"/>
        <v>3597598</v>
      </c>
      <c r="U10" s="60"/>
      <c r="V10" s="116">
        <f>名!I752</f>
        <v>623280</v>
      </c>
      <c r="W10" s="34"/>
      <c r="X10" s="116">
        <f>名!J752</f>
        <v>626101</v>
      </c>
      <c r="Y10" s="34"/>
      <c r="Z10" s="116">
        <f>名!K752</f>
        <v>651882</v>
      </c>
      <c r="AA10" s="151">
        <f t="shared" si="3"/>
        <v>0</v>
      </c>
      <c r="AB10" s="117">
        <f t="shared" si="3"/>
        <v>1901263</v>
      </c>
      <c r="AC10" s="60"/>
      <c r="AD10" s="116">
        <f>名!L752</f>
        <v>652161</v>
      </c>
      <c r="AE10" s="34"/>
      <c r="AF10" s="116">
        <f>名!M752</f>
        <v>649373</v>
      </c>
      <c r="AG10" s="34"/>
      <c r="AH10" s="116">
        <f>名!N752</f>
        <v>653555</v>
      </c>
      <c r="AI10" s="151">
        <f t="shared" si="4"/>
        <v>0</v>
      </c>
      <c r="AJ10" s="117">
        <f t="shared" si="4"/>
        <v>1955089</v>
      </c>
      <c r="AK10" s="151">
        <f t="shared" si="5"/>
        <v>0</v>
      </c>
      <c r="AL10" s="117">
        <f t="shared" si="5"/>
        <v>3856352</v>
      </c>
      <c r="AM10" s="129">
        <f t="shared" si="6"/>
        <v>0</v>
      </c>
      <c r="AN10" s="117">
        <f t="shared" si="7"/>
        <v>7453950</v>
      </c>
    </row>
    <row r="11" spans="1:40" ht="20.25" customHeight="1" x14ac:dyDescent="0.15">
      <c r="A11" s="23"/>
      <c r="B11" s="5" t="s">
        <v>23</v>
      </c>
      <c r="C11" s="34">
        <v>7278000</v>
      </c>
      <c r="D11" s="116">
        <f>名!C753</f>
        <v>7899289</v>
      </c>
      <c r="E11" s="34">
        <v>8925000</v>
      </c>
      <c r="F11" s="116">
        <f>名!D753</f>
        <v>7857748</v>
      </c>
      <c r="G11" s="34">
        <v>7756000</v>
      </c>
      <c r="H11" s="116">
        <f>名!E753</f>
        <v>7777411</v>
      </c>
      <c r="I11" s="151">
        <f t="shared" si="0"/>
        <v>23959000</v>
      </c>
      <c r="J11" s="117">
        <f t="shared" si="0"/>
        <v>23534448</v>
      </c>
      <c r="K11" s="60">
        <v>7678000</v>
      </c>
      <c r="L11" s="116">
        <f>名!F753</f>
        <v>8045323</v>
      </c>
      <c r="M11" s="34">
        <v>8895000</v>
      </c>
      <c r="N11" s="116">
        <f>名!G753</f>
        <v>8035896</v>
      </c>
      <c r="O11" s="34">
        <v>8113000</v>
      </c>
      <c r="P11" s="116">
        <f>名!H753</f>
        <v>8312043</v>
      </c>
      <c r="Q11" s="151">
        <f t="shared" si="1"/>
        <v>24686000</v>
      </c>
      <c r="R11" s="117">
        <f t="shared" si="1"/>
        <v>24393262</v>
      </c>
      <c r="S11" s="151">
        <f t="shared" si="2"/>
        <v>48645000</v>
      </c>
      <c r="T11" s="117">
        <f t="shared" si="2"/>
        <v>47927710</v>
      </c>
      <c r="U11" s="60">
        <v>8460000</v>
      </c>
      <c r="V11" s="116">
        <f>名!I753</f>
        <v>8525421</v>
      </c>
      <c r="W11" s="34">
        <v>8113000</v>
      </c>
      <c r="X11" s="116">
        <f>名!J753</f>
        <v>8578308</v>
      </c>
      <c r="Y11" s="34">
        <v>8114000</v>
      </c>
      <c r="Z11" s="116">
        <f>名!K753</f>
        <v>8876964</v>
      </c>
      <c r="AA11" s="151">
        <f t="shared" si="3"/>
        <v>24687000</v>
      </c>
      <c r="AB11" s="117">
        <f t="shared" si="3"/>
        <v>25980693</v>
      </c>
      <c r="AC11" s="60">
        <v>8114000</v>
      </c>
      <c r="AD11" s="116">
        <f>名!L753</f>
        <v>8964621</v>
      </c>
      <c r="AE11" s="34">
        <v>8519000</v>
      </c>
      <c r="AF11" s="116">
        <f>名!M753</f>
        <v>8888676</v>
      </c>
      <c r="AG11" s="34">
        <v>7278000</v>
      </c>
      <c r="AH11" s="116">
        <f>名!N753</f>
        <v>8969745</v>
      </c>
      <c r="AI11" s="151">
        <f t="shared" si="4"/>
        <v>23911000</v>
      </c>
      <c r="AJ11" s="117">
        <f t="shared" si="4"/>
        <v>26823042</v>
      </c>
      <c r="AK11" s="151">
        <f t="shared" si="5"/>
        <v>48598000</v>
      </c>
      <c r="AL11" s="117">
        <f t="shared" si="5"/>
        <v>52803735</v>
      </c>
      <c r="AM11" s="129">
        <f t="shared" si="6"/>
        <v>97243000</v>
      </c>
      <c r="AN11" s="117">
        <f t="shared" si="7"/>
        <v>100731445</v>
      </c>
    </row>
    <row r="12" spans="1:40" ht="20.25" customHeight="1" x14ac:dyDescent="0.15">
      <c r="A12" s="23"/>
      <c r="B12" s="5" t="s">
        <v>24</v>
      </c>
      <c r="C12" s="154">
        <v>477000</v>
      </c>
      <c r="D12" s="116">
        <f>名!C754</f>
        <v>476012</v>
      </c>
      <c r="E12" s="34">
        <v>585000</v>
      </c>
      <c r="F12" s="116">
        <f>名!D754</f>
        <v>583576</v>
      </c>
      <c r="G12" s="34">
        <v>509000</v>
      </c>
      <c r="H12" s="116">
        <f>名!E754</f>
        <v>542818</v>
      </c>
      <c r="I12" s="197">
        <f t="shared" si="0"/>
        <v>1571000</v>
      </c>
      <c r="J12" s="117">
        <f t="shared" si="0"/>
        <v>1602406</v>
      </c>
      <c r="K12" s="155">
        <v>503000</v>
      </c>
      <c r="L12" s="116">
        <f>名!F754</f>
        <v>522958</v>
      </c>
      <c r="M12" s="34">
        <v>583000</v>
      </c>
      <c r="N12" s="116">
        <f>名!G754</f>
        <v>606918</v>
      </c>
      <c r="O12" s="34">
        <v>532000</v>
      </c>
      <c r="P12" s="116">
        <f>名!H754</f>
        <v>573428</v>
      </c>
      <c r="Q12" s="197">
        <f t="shared" si="1"/>
        <v>1618000</v>
      </c>
      <c r="R12" s="117">
        <f t="shared" si="1"/>
        <v>1703304</v>
      </c>
      <c r="S12" s="197">
        <f t="shared" si="2"/>
        <v>3189000</v>
      </c>
      <c r="T12" s="117">
        <f>J12+R12</f>
        <v>3305710</v>
      </c>
      <c r="U12" s="155">
        <v>555000</v>
      </c>
      <c r="V12" s="116">
        <f>名!I754</f>
        <v>610518</v>
      </c>
      <c r="W12" s="34">
        <v>532000</v>
      </c>
      <c r="X12" s="116">
        <f>名!J754</f>
        <v>815016</v>
      </c>
      <c r="Y12" s="34">
        <v>532000</v>
      </c>
      <c r="Z12" s="116">
        <f>名!K754</f>
        <v>834161</v>
      </c>
      <c r="AA12" s="197">
        <f t="shared" si="3"/>
        <v>1619000</v>
      </c>
      <c r="AB12" s="117">
        <f t="shared" si="3"/>
        <v>2259695</v>
      </c>
      <c r="AC12" s="155">
        <v>533000</v>
      </c>
      <c r="AD12" s="116">
        <f>名!L754</f>
        <v>814730</v>
      </c>
      <c r="AE12" s="34">
        <v>559000</v>
      </c>
      <c r="AF12" s="116">
        <f>名!M754</f>
        <v>814716</v>
      </c>
      <c r="AG12" s="34">
        <v>477000</v>
      </c>
      <c r="AH12" s="116">
        <f>名!N754</f>
        <v>790355</v>
      </c>
      <c r="AI12" s="197">
        <f t="shared" si="4"/>
        <v>1569000</v>
      </c>
      <c r="AJ12" s="117">
        <f t="shared" si="4"/>
        <v>2419801</v>
      </c>
      <c r="AK12" s="197">
        <f t="shared" si="5"/>
        <v>3188000</v>
      </c>
      <c r="AL12" s="117">
        <f t="shared" si="5"/>
        <v>4679496</v>
      </c>
      <c r="AM12" s="156">
        <f t="shared" si="6"/>
        <v>6377000</v>
      </c>
      <c r="AN12" s="117">
        <f t="shared" si="7"/>
        <v>7985206</v>
      </c>
    </row>
    <row r="13" spans="1:40" ht="20.25" customHeight="1" x14ac:dyDescent="0.15">
      <c r="A13" s="23"/>
      <c r="B13" s="5" t="s">
        <v>25</v>
      </c>
      <c r="C13" s="34">
        <v>390000</v>
      </c>
      <c r="D13" s="117">
        <f>ROUND(名!C755*3/1000,0)</f>
        <v>247719</v>
      </c>
      <c r="E13" s="34">
        <v>312000</v>
      </c>
      <c r="F13" s="117">
        <f>ROUND(名!D755*3/1000,0)</f>
        <v>302292</v>
      </c>
      <c r="G13" s="34">
        <v>271000</v>
      </c>
      <c r="H13" s="117">
        <f>ROUND(名!E755*3/1000,0)</f>
        <v>282949</v>
      </c>
      <c r="I13" s="151">
        <f t="shared" si="0"/>
        <v>973000</v>
      </c>
      <c r="J13" s="117">
        <f t="shared" si="0"/>
        <v>832960</v>
      </c>
      <c r="K13" s="60">
        <v>269000</v>
      </c>
      <c r="L13" s="117">
        <f>ROUND(名!F755*3/1000,0)</f>
        <v>272139</v>
      </c>
      <c r="M13" s="34">
        <v>311000</v>
      </c>
      <c r="N13" s="117">
        <f>ROUND(名!G755*3/1000,0)</f>
        <v>315021</v>
      </c>
      <c r="O13" s="34">
        <v>284000</v>
      </c>
      <c r="P13" s="117">
        <f>ROUND(名!H755*3/1000,0)</f>
        <v>297082</v>
      </c>
      <c r="Q13" s="151">
        <f t="shared" si="1"/>
        <v>864000</v>
      </c>
      <c r="R13" s="117">
        <f t="shared" si="1"/>
        <v>884242</v>
      </c>
      <c r="S13" s="151">
        <f t="shared" si="2"/>
        <v>1837000</v>
      </c>
      <c r="T13" s="117">
        <f t="shared" si="2"/>
        <v>1717202</v>
      </c>
      <c r="U13" s="60">
        <v>296000</v>
      </c>
      <c r="V13" s="117">
        <f>ROUND(名!I755*3/1000,0)</f>
        <v>315421</v>
      </c>
      <c r="W13" s="34">
        <v>284000</v>
      </c>
      <c r="X13" s="117">
        <f>ROUND(名!J755*3/1000,0)</f>
        <v>299273</v>
      </c>
      <c r="Y13" s="34">
        <v>284000</v>
      </c>
      <c r="Z13" s="117">
        <f>ROUND(名!K755*3/1000,0)</f>
        <v>304530</v>
      </c>
      <c r="AA13" s="151">
        <f t="shared" si="3"/>
        <v>864000</v>
      </c>
      <c r="AB13" s="117">
        <f t="shared" si="3"/>
        <v>919224</v>
      </c>
      <c r="AC13" s="60">
        <v>284000</v>
      </c>
      <c r="AD13" s="117">
        <f>ROUND(名!L755*3/1000,0)</f>
        <v>298234</v>
      </c>
      <c r="AE13" s="34">
        <v>297000</v>
      </c>
      <c r="AF13" s="117">
        <f>ROUND(名!M755*3/1000,0)</f>
        <v>298717</v>
      </c>
      <c r="AG13" s="34">
        <v>255000</v>
      </c>
      <c r="AH13" s="117">
        <f>ROUND(名!N755*3/1000,0)</f>
        <v>289081</v>
      </c>
      <c r="AI13" s="151">
        <f t="shared" si="4"/>
        <v>836000</v>
      </c>
      <c r="AJ13" s="117">
        <f t="shared" si="4"/>
        <v>886032</v>
      </c>
      <c r="AK13" s="151">
        <f t="shared" si="5"/>
        <v>1700000</v>
      </c>
      <c r="AL13" s="117">
        <f t="shared" si="5"/>
        <v>1805256</v>
      </c>
      <c r="AM13" s="129">
        <f t="shared" si="6"/>
        <v>3537000</v>
      </c>
      <c r="AN13" s="117">
        <f t="shared" si="7"/>
        <v>3522458</v>
      </c>
    </row>
    <row r="14" spans="1:40" ht="20.25" customHeight="1" x14ac:dyDescent="0.15">
      <c r="A14" s="26"/>
      <c r="B14" s="27" t="s">
        <v>26</v>
      </c>
      <c r="C14" s="35">
        <v>4514000</v>
      </c>
      <c r="D14" s="118">
        <f>名!C749</f>
        <v>3387710</v>
      </c>
      <c r="E14" s="35">
        <v>5535000</v>
      </c>
      <c r="F14" s="118">
        <f>名!D749</f>
        <v>4114380</v>
      </c>
      <c r="G14" s="35">
        <v>4810000</v>
      </c>
      <c r="H14" s="118">
        <f>名!E749</f>
        <v>3778020</v>
      </c>
      <c r="I14" s="152">
        <f t="shared" si="0"/>
        <v>14859000</v>
      </c>
      <c r="J14" s="118">
        <f t="shared" si="0"/>
        <v>11280110</v>
      </c>
      <c r="K14" s="61">
        <v>4762000</v>
      </c>
      <c r="L14" s="118">
        <f>名!F749</f>
        <v>3676510</v>
      </c>
      <c r="M14" s="35">
        <v>5517000</v>
      </c>
      <c r="N14" s="118">
        <f>名!G749</f>
        <v>4259375</v>
      </c>
      <c r="O14" s="35">
        <v>5032000</v>
      </c>
      <c r="P14" s="118">
        <f>名!H749</f>
        <v>3953185</v>
      </c>
      <c r="Q14" s="152">
        <f t="shared" si="1"/>
        <v>15311000</v>
      </c>
      <c r="R14" s="118">
        <f t="shared" si="1"/>
        <v>11889070</v>
      </c>
      <c r="S14" s="152">
        <f t="shared" si="2"/>
        <v>30170000</v>
      </c>
      <c r="T14" s="118">
        <f t="shared" si="2"/>
        <v>23169180</v>
      </c>
      <c r="U14" s="61">
        <v>5247000</v>
      </c>
      <c r="V14" s="118">
        <f>名!I749</f>
        <v>4169790</v>
      </c>
      <c r="W14" s="35">
        <v>5032000</v>
      </c>
      <c r="X14" s="118">
        <f>名!J749</f>
        <v>3928825</v>
      </c>
      <c r="Y14" s="35">
        <v>5032000</v>
      </c>
      <c r="Z14" s="118">
        <f>名!K749</f>
        <v>4019810</v>
      </c>
      <c r="AA14" s="152">
        <f t="shared" si="3"/>
        <v>15311000</v>
      </c>
      <c r="AB14" s="118">
        <f t="shared" si="3"/>
        <v>12118425</v>
      </c>
      <c r="AC14" s="61">
        <v>5032000</v>
      </c>
      <c r="AD14" s="118">
        <f>名!L749</f>
        <v>3983145</v>
      </c>
      <c r="AE14" s="35">
        <v>5283000</v>
      </c>
      <c r="AF14" s="118">
        <f>名!M749</f>
        <v>3953950</v>
      </c>
      <c r="AG14" s="35">
        <v>4514000</v>
      </c>
      <c r="AH14" s="118">
        <f>名!N749</f>
        <v>3753950</v>
      </c>
      <c r="AI14" s="152">
        <f t="shared" si="4"/>
        <v>14829000</v>
      </c>
      <c r="AJ14" s="118">
        <f t="shared" si="4"/>
        <v>11691045</v>
      </c>
      <c r="AK14" s="152">
        <f t="shared" si="5"/>
        <v>30140000</v>
      </c>
      <c r="AL14" s="118">
        <f t="shared" si="5"/>
        <v>23809470</v>
      </c>
      <c r="AM14" s="130">
        <f t="shared" si="6"/>
        <v>60310000</v>
      </c>
      <c r="AN14" s="118">
        <f t="shared" si="7"/>
        <v>46978650</v>
      </c>
    </row>
    <row r="15" spans="1:40" ht="20.25" customHeight="1" x14ac:dyDescent="0.15">
      <c r="A15" s="21" t="s">
        <v>77</v>
      </c>
      <c r="B15" s="22" t="s">
        <v>68</v>
      </c>
      <c r="C15" s="34">
        <v>100000</v>
      </c>
      <c r="D15" s="4"/>
      <c r="E15" s="34">
        <v>100000</v>
      </c>
      <c r="F15" s="4"/>
      <c r="G15" s="34">
        <v>100000</v>
      </c>
      <c r="H15" s="4"/>
      <c r="I15" s="151">
        <f t="shared" si="0"/>
        <v>300000</v>
      </c>
      <c r="J15" s="117">
        <f t="shared" si="0"/>
        <v>0</v>
      </c>
      <c r="K15" s="60">
        <v>100000</v>
      </c>
      <c r="L15" s="4"/>
      <c r="M15" s="34">
        <v>100000</v>
      </c>
      <c r="N15" s="4"/>
      <c r="O15" s="34">
        <v>100000</v>
      </c>
      <c r="P15" s="4"/>
      <c r="Q15" s="151">
        <f t="shared" si="1"/>
        <v>300000</v>
      </c>
      <c r="R15" s="117">
        <f t="shared" si="1"/>
        <v>0</v>
      </c>
      <c r="S15" s="151">
        <f t="shared" si="2"/>
        <v>600000</v>
      </c>
      <c r="T15" s="117">
        <f t="shared" si="2"/>
        <v>0</v>
      </c>
      <c r="U15" s="60">
        <v>100000</v>
      </c>
      <c r="V15" s="4"/>
      <c r="W15" s="34">
        <v>100000</v>
      </c>
      <c r="X15" s="4"/>
      <c r="Y15" s="186">
        <v>100000</v>
      </c>
      <c r="Z15" s="4"/>
      <c r="AA15" s="151">
        <f t="shared" si="3"/>
        <v>300000</v>
      </c>
      <c r="AB15" s="117">
        <f t="shared" si="3"/>
        <v>0</v>
      </c>
      <c r="AC15" s="60">
        <v>100000</v>
      </c>
      <c r="AD15" s="4"/>
      <c r="AE15" s="34">
        <v>100000</v>
      </c>
      <c r="AF15" s="4"/>
      <c r="AG15" s="34">
        <v>100000</v>
      </c>
      <c r="AH15" s="4"/>
      <c r="AI15" s="151">
        <f t="shared" si="4"/>
        <v>300000</v>
      </c>
      <c r="AJ15" s="117">
        <f t="shared" si="4"/>
        <v>0</v>
      </c>
      <c r="AK15" s="151">
        <f t="shared" si="5"/>
        <v>600000</v>
      </c>
      <c r="AL15" s="117">
        <f t="shared" si="5"/>
        <v>0</v>
      </c>
      <c r="AM15" s="129">
        <f t="shared" si="6"/>
        <v>1200000</v>
      </c>
      <c r="AN15" s="117">
        <f t="shared" si="7"/>
        <v>0</v>
      </c>
    </row>
    <row r="16" spans="1:40" ht="20.25" customHeight="1" x14ac:dyDescent="0.15">
      <c r="A16" s="21" t="s">
        <v>78</v>
      </c>
      <c r="B16" s="6" t="s">
        <v>69</v>
      </c>
      <c r="C16" s="34">
        <v>200000</v>
      </c>
      <c r="D16" s="4">
        <f>6210-1819+1390+13560</f>
        <v>19341</v>
      </c>
      <c r="E16" s="34">
        <v>200000</v>
      </c>
      <c r="F16" s="4">
        <f>15390-7100+1390</f>
        <v>9680</v>
      </c>
      <c r="G16" s="34">
        <v>200000</v>
      </c>
      <c r="H16" s="4">
        <f>6780+7680</f>
        <v>14460</v>
      </c>
      <c r="I16" s="151">
        <f t="shared" si="0"/>
        <v>600000</v>
      </c>
      <c r="J16" s="117">
        <f t="shared" si="0"/>
        <v>43481</v>
      </c>
      <c r="K16" s="60">
        <v>200000</v>
      </c>
      <c r="L16" s="4">
        <f>4410+10800+1390</f>
        <v>16600</v>
      </c>
      <c r="M16" s="34">
        <v>200000</v>
      </c>
      <c r="N16" s="4">
        <f>1390-7160</f>
        <v>-5770</v>
      </c>
      <c r="O16" s="34">
        <v>200000</v>
      </c>
      <c r="P16" s="4">
        <f>19960+1390</f>
        <v>21350</v>
      </c>
      <c r="Q16" s="151">
        <f t="shared" si="1"/>
        <v>600000</v>
      </c>
      <c r="R16" s="117">
        <f t="shared" si="1"/>
        <v>32180</v>
      </c>
      <c r="S16" s="151">
        <f t="shared" si="2"/>
        <v>1200000</v>
      </c>
      <c r="T16" s="117">
        <f t="shared" si="2"/>
        <v>75661</v>
      </c>
      <c r="U16" s="60">
        <v>200000</v>
      </c>
      <c r="V16" s="4">
        <f>13940+43200+1390-6164</f>
        <v>52366</v>
      </c>
      <c r="W16" s="34">
        <v>200000</v>
      </c>
      <c r="X16" s="4">
        <f>4550-1728+17140+15000+1390+14057</f>
        <v>50409</v>
      </c>
      <c r="Y16" s="186">
        <v>200000</v>
      </c>
      <c r="Z16" s="4">
        <f>16760+1390</f>
        <v>18150</v>
      </c>
      <c r="AA16" s="151">
        <f t="shared" si="3"/>
        <v>600000</v>
      </c>
      <c r="AB16" s="117">
        <f t="shared" si="3"/>
        <v>120925</v>
      </c>
      <c r="AC16" s="60">
        <v>200000</v>
      </c>
      <c r="AD16" s="4">
        <f>15000+1390+187200</f>
        <v>203590</v>
      </c>
      <c r="AE16" s="34">
        <v>200000</v>
      </c>
      <c r="AF16" s="4">
        <f>1390+199560</f>
        <v>200950</v>
      </c>
      <c r="AG16" s="34">
        <v>200000</v>
      </c>
      <c r="AH16" s="4">
        <f>2780+3580-6722</f>
        <v>-362</v>
      </c>
      <c r="AI16" s="151">
        <f t="shared" si="4"/>
        <v>600000</v>
      </c>
      <c r="AJ16" s="117">
        <f t="shared" si="4"/>
        <v>404178</v>
      </c>
      <c r="AK16" s="151">
        <f t="shared" si="5"/>
        <v>1200000</v>
      </c>
      <c r="AL16" s="117">
        <f t="shared" si="5"/>
        <v>525103</v>
      </c>
      <c r="AM16" s="129">
        <f t="shared" si="6"/>
        <v>2400000</v>
      </c>
      <c r="AN16" s="117">
        <f t="shared" si="7"/>
        <v>600764</v>
      </c>
    </row>
    <row r="17" spans="1:40" ht="20.25" customHeight="1" x14ac:dyDescent="0.15">
      <c r="A17" s="21" t="s">
        <v>79</v>
      </c>
      <c r="B17" s="6" t="s">
        <v>169</v>
      </c>
      <c r="C17" s="34">
        <v>732000</v>
      </c>
      <c r="D17" s="4"/>
      <c r="E17" s="34">
        <v>898000</v>
      </c>
      <c r="F17" s="4"/>
      <c r="G17" s="34">
        <v>780000</v>
      </c>
      <c r="H17" s="4">
        <f>10000+3000+6010+6376</f>
        <v>25386</v>
      </c>
      <c r="I17" s="151">
        <f t="shared" si="0"/>
        <v>2410000</v>
      </c>
      <c r="J17" s="117">
        <f t="shared" si="0"/>
        <v>25386</v>
      </c>
      <c r="K17" s="60">
        <v>772000</v>
      </c>
      <c r="L17" s="4">
        <f>5842+13819+1530</f>
        <v>21191</v>
      </c>
      <c r="M17" s="34">
        <v>895000</v>
      </c>
      <c r="N17" s="4"/>
      <c r="O17" s="34">
        <v>816000</v>
      </c>
      <c r="P17" s="4"/>
      <c r="Q17" s="151">
        <f t="shared" si="1"/>
        <v>2483000</v>
      </c>
      <c r="R17" s="117">
        <f t="shared" si="1"/>
        <v>21191</v>
      </c>
      <c r="S17" s="151">
        <f t="shared" si="2"/>
        <v>4893000</v>
      </c>
      <c r="T17" s="117">
        <f t="shared" si="2"/>
        <v>46577</v>
      </c>
      <c r="U17" s="60">
        <v>851000</v>
      </c>
      <c r="V17" s="4"/>
      <c r="W17" s="34">
        <v>816000</v>
      </c>
      <c r="X17" s="4"/>
      <c r="Y17" s="186">
        <v>816000</v>
      </c>
      <c r="Z17" s="4"/>
      <c r="AA17" s="151">
        <f t="shared" si="3"/>
        <v>2483000</v>
      </c>
      <c r="AB17" s="117">
        <f t="shared" si="3"/>
        <v>0</v>
      </c>
      <c r="AC17" s="60">
        <v>816000</v>
      </c>
      <c r="AD17" s="4"/>
      <c r="AE17" s="34">
        <v>856000</v>
      </c>
      <c r="AF17" s="4"/>
      <c r="AG17" s="34">
        <v>732000</v>
      </c>
      <c r="AH17" s="4">
        <v>1970</v>
      </c>
      <c r="AI17" s="151">
        <f t="shared" si="4"/>
        <v>2404000</v>
      </c>
      <c r="AJ17" s="117">
        <f t="shared" si="4"/>
        <v>1970</v>
      </c>
      <c r="AK17" s="151">
        <f t="shared" si="5"/>
        <v>4887000</v>
      </c>
      <c r="AL17" s="117">
        <f t="shared" si="5"/>
        <v>1970</v>
      </c>
      <c r="AM17" s="129">
        <f t="shared" si="6"/>
        <v>9780000</v>
      </c>
      <c r="AN17" s="117">
        <f t="shared" si="7"/>
        <v>48547</v>
      </c>
    </row>
    <row r="18" spans="1:40" ht="20.25" customHeight="1" x14ac:dyDescent="0.15">
      <c r="A18" s="23"/>
      <c r="B18" s="6" t="s">
        <v>187</v>
      </c>
      <c r="C18" s="34"/>
      <c r="D18" s="4">
        <f>180910+3500+6373+3472+33866+19408+6928</f>
        <v>254457</v>
      </c>
      <c r="E18" s="34"/>
      <c r="F18" s="4">
        <f>13035+187795+10990+6516+13668+6518+42601+6229+10000+6518+6518</f>
        <v>310388</v>
      </c>
      <c r="G18" s="34"/>
      <c r="H18" s="4">
        <f>245011+6518+12890+3472+3472+3472+8000+3472+6373+6518+2391</f>
        <v>301589</v>
      </c>
      <c r="I18" s="151">
        <f t="shared" si="0"/>
        <v>0</v>
      </c>
      <c r="J18" s="117">
        <f t="shared" si="0"/>
        <v>866434</v>
      </c>
      <c r="K18" s="60"/>
      <c r="L18" s="4"/>
      <c r="M18" s="34"/>
      <c r="N18" s="4">
        <f>51203+86191+24500</f>
        <v>161894</v>
      </c>
      <c r="O18" s="34"/>
      <c r="P18" s="4">
        <f>227987+47943+27273+6518+49000+15514+9091+3463</f>
        <v>386789</v>
      </c>
      <c r="Q18" s="151">
        <f t="shared" si="1"/>
        <v>0</v>
      </c>
      <c r="R18" s="117">
        <f t="shared" si="1"/>
        <v>548683</v>
      </c>
      <c r="S18" s="151">
        <f t="shared" si="2"/>
        <v>0</v>
      </c>
      <c r="T18" s="117">
        <f t="shared" si="2"/>
        <v>1415117</v>
      </c>
      <c r="U18" s="60"/>
      <c r="V18" s="4">
        <f>20658+3472+181364+23240+7182+6229+6518</f>
        <v>248663</v>
      </c>
      <c r="W18" s="34"/>
      <c r="X18" s="4">
        <f>9990+9990+6944+6518+6373+9329+13035+78820+19446+4200+2282</f>
        <v>166927</v>
      </c>
      <c r="Y18" s="186"/>
      <c r="Z18" s="4">
        <f>3472+10061+6518+19552+3473</f>
        <v>43076</v>
      </c>
      <c r="AA18" s="151">
        <f t="shared" si="3"/>
        <v>0</v>
      </c>
      <c r="AB18" s="117">
        <f t="shared" si="3"/>
        <v>458666</v>
      </c>
      <c r="AC18" s="60"/>
      <c r="AD18" s="4">
        <f>6518+7000+6518+89710+50372+6518+3472+30394+3472+3472</f>
        <v>207446</v>
      </c>
      <c r="AE18" s="34"/>
      <c r="AF18" s="4">
        <f>3472+85433+3320+49946+7000+3472+6518+6518</f>
        <v>165679</v>
      </c>
      <c r="AG18" s="34"/>
      <c r="AH18" s="4">
        <f>3472+6518+6518+47991+18490+10416+6518+3472+3472+3472+6518+6229+15472</f>
        <v>138558</v>
      </c>
      <c r="AI18" s="151">
        <f t="shared" si="4"/>
        <v>0</v>
      </c>
      <c r="AJ18" s="117">
        <f t="shared" si="4"/>
        <v>511683</v>
      </c>
      <c r="AK18" s="151">
        <f t="shared" si="5"/>
        <v>0</v>
      </c>
      <c r="AL18" s="117">
        <f t="shared" si="5"/>
        <v>970349</v>
      </c>
      <c r="AM18" s="129">
        <f t="shared" si="6"/>
        <v>0</v>
      </c>
      <c r="AN18" s="117">
        <f t="shared" si="7"/>
        <v>2385466</v>
      </c>
    </row>
    <row r="19" spans="1:40" ht="20.25" customHeight="1" thickBot="1" x14ac:dyDescent="0.2">
      <c r="A19" s="23"/>
      <c r="B19" s="6" t="s">
        <v>72</v>
      </c>
      <c r="C19" s="34">
        <v>500000</v>
      </c>
      <c r="D19" s="4"/>
      <c r="E19" s="34">
        <v>500000</v>
      </c>
      <c r="F19" s="4">
        <v>1500</v>
      </c>
      <c r="G19" s="34">
        <v>500000</v>
      </c>
      <c r="H19" s="4"/>
      <c r="I19" s="151">
        <f t="shared" si="0"/>
        <v>1500000</v>
      </c>
      <c r="J19" s="117">
        <f t="shared" si="0"/>
        <v>1500</v>
      </c>
      <c r="K19" s="60">
        <v>500000</v>
      </c>
      <c r="L19" s="4"/>
      <c r="M19" s="34">
        <v>500000</v>
      </c>
      <c r="N19" s="4"/>
      <c r="O19" s="34">
        <v>500000</v>
      </c>
      <c r="P19" s="4"/>
      <c r="Q19" s="151">
        <f t="shared" si="1"/>
        <v>1500000</v>
      </c>
      <c r="R19" s="117">
        <f t="shared" si="1"/>
        <v>0</v>
      </c>
      <c r="S19" s="151">
        <f t="shared" si="2"/>
        <v>3000000</v>
      </c>
      <c r="T19" s="117">
        <f t="shared" si="2"/>
        <v>1500</v>
      </c>
      <c r="U19" s="60">
        <v>500000</v>
      </c>
      <c r="V19" s="4"/>
      <c r="W19" s="34">
        <v>500000</v>
      </c>
      <c r="X19" s="89">
        <f>30000+10000+20000+3000</f>
        <v>63000</v>
      </c>
      <c r="Y19" s="186">
        <v>500000</v>
      </c>
      <c r="Z19" s="89">
        <v>5000</v>
      </c>
      <c r="AA19" s="151">
        <f t="shared" si="3"/>
        <v>1500000</v>
      </c>
      <c r="AB19" s="117">
        <f t="shared" si="3"/>
        <v>68000</v>
      </c>
      <c r="AC19" s="60">
        <v>500000</v>
      </c>
      <c r="AD19" s="4">
        <f>1620</f>
        <v>1620</v>
      </c>
      <c r="AE19" s="34">
        <v>500000</v>
      </c>
      <c r="AF19" s="4"/>
      <c r="AG19" s="34">
        <v>500000</v>
      </c>
      <c r="AH19" s="4">
        <v>253182</v>
      </c>
      <c r="AI19" s="151">
        <f t="shared" si="4"/>
        <v>1500000</v>
      </c>
      <c r="AJ19" s="117">
        <f t="shared" si="4"/>
        <v>254802</v>
      </c>
      <c r="AK19" s="151">
        <f t="shared" si="5"/>
        <v>3000000</v>
      </c>
      <c r="AL19" s="117">
        <f t="shared" si="5"/>
        <v>322802</v>
      </c>
      <c r="AM19" s="129">
        <f t="shared" si="6"/>
        <v>6000000</v>
      </c>
      <c r="AN19" s="117">
        <f t="shared" si="7"/>
        <v>324302</v>
      </c>
    </row>
    <row r="20" spans="1:40" ht="20.25" customHeight="1" thickTop="1" thickBot="1" x14ac:dyDescent="0.2">
      <c r="A20" s="24"/>
      <c r="B20" s="7" t="s">
        <v>27</v>
      </c>
      <c r="C20" s="36">
        <f>SUM(C6:C19)</f>
        <v>98508000</v>
      </c>
      <c r="D20" s="8">
        <f t="shared" ref="D20:AL20" si="8">SUM(D6:D19)</f>
        <v>96645333</v>
      </c>
      <c r="E20" s="36">
        <f>SUM(E6:E19)</f>
        <v>120446000</v>
      </c>
      <c r="F20" s="8">
        <f t="shared" si="8"/>
        <v>114888177</v>
      </c>
      <c r="G20" s="36">
        <f t="shared" si="8"/>
        <v>104772000</v>
      </c>
      <c r="H20" s="8">
        <f t="shared" si="8"/>
        <v>108234205</v>
      </c>
      <c r="I20" s="36">
        <f t="shared" si="8"/>
        <v>323726000</v>
      </c>
      <c r="J20" s="8">
        <f t="shared" si="8"/>
        <v>319767715</v>
      </c>
      <c r="K20" s="62">
        <f t="shared" si="8"/>
        <v>103731000</v>
      </c>
      <c r="L20" s="8">
        <f t="shared" si="8"/>
        <v>104741436</v>
      </c>
      <c r="M20" s="36">
        <f t="shared" si="8"/>
        <v>120048000</v>
      </c>
      <c r="N20" s="8">
        <f t="shared" si="8"/>
        <v>119266214</v>
      </c>
      <c r="O20" s="36">
        <f t="shared" si="8"/>
        <v>109569000</v>
      </c>
      <c r="P20" s="8">
        <f t="shared" si="8"/>
        <v>113929277</v>
      </c>
      <c r="Q20" s="36">
        <f t="shared" si="8"/>
        <v>333348000</v>
      </c>
      <c r="R20" s="8">
        <f t="shared" si="8"/>
        <v>337936927</v>
      </c>
      <c r="S20" s="36">
        <f t="shared" si="8"/>
        <v>657074000</v>
      </c>
      <c r="T20" s="8">
        <f t="shared" si="8"/>
        <v>657704642</v>
      </c>
      <c r="U20" s="62">
        <f t="shared" si="8"/>
        <v>114210000</v>
      </c>
      <c r="V20" s="8">
        <f t="shared" si="8"/>
        <v>120336630</v>
      </c>
      <c r="W20" s="36">
        <f t="shared" si="8"/>
        <v>109569000</v>
      </c>
      <c r="X20" s="8">
        <f t="shared" si="8"/>
        <v>115207935</v>
      </c>
      <c r="Y20" s="36">
        <f t="shared" si="8"/>
        <v>109570000</v>
      </c>
      <c r="Z20" s="8">
        <f t="shared" si="8"/>
        <v>117259066</v>
      </c>
      <c r="AA20" s="36">
        <f t="shared" si="8"/>
        <v>333349000</v>
      </c>
      <c r="AB20" s="8">
        <f t="shared" si="8"/>
        <v>352803631</v>
      </c>
      <c r="AC20" s="62">
        <f t="shared" si="8"/>
        <v>109571000</v>
      </c>
      <c r="AD20" s="8">
        <f t="shared" si="8"/>
        <v>115618245</v>
      </c>
      <c r="AE20" s="36">
        <f t="shared" si="8"/>
        <v>115006000</v>
      </c>
      <c r="AF20" s="8">
        <f t="shared" si="8"/>
        <v>115612511</v>
      </c>
      <c r="AG20" s="36">
        <f t="shared" si="8"/>
        <v>98373000</v>
      </c>
      <c r="AH20" s="8">
        <f t="shared" si="8"/>
        <v>112523553</v>
      </c>
      <c r="AI20" s="36">
        <f t="shared" si="8"/>
        <v>322950000</v>
      </c>
      <c r="AJ20" s="8">
        <f t="shared" si="8"/>
        <v>343754309</v>
      </c>
      <c r="AK20" s="36">
        <f t="shared" si="8"/>
        <v>656299000</v>
      </c>
      <c r="AL20" s="8">
        <f t="shared" si="8"/>
        <v>696557940</v>
      </c>
      <c r="AM20" s="62">
        <f t="shared" si="6"/>
        <v>1313373000</v>
      </c>
      <c r="AN20" s="8">
        <f t="shared" si="7"/>
        <v>1354262582</v>
      </c>
    </row>
    <row r="21" spans="1:40" ht="20.25" customHeight="1" x14ac:dyDescent="0.15">
      <c r="A21" s="218" t="s">
        <v>28</v>
      </c>
      <c r="B21" s="219"/>
      <c r="C21" s="37">
        <f>C5-C20</f>
        <v>23492000</v>
      </c>
      <c r="D21" s="9">
        <f t="shared" ref="D21:AL21" si="9">D5-D20</f>
        <v>31267311</v>
      </c>
      <c r="E21" s="37">
        <f t="shared" si="9"/>
        <v>29154000</v>
      </c>
      <c r="F21" s="9">
        <f t="shared" si="9"/>
        <v>34198641</v>
      </c>
      <c r="G21" s="37">
        <f t="shared" si="9"/>
        <v>25228000</v>
      </c>
      <c r="H21" s="9">
        <f t="shared" si="9"/>
        <v>32709648</v>
      </c>
      <c r="I21" s="37">
        <f t="shared" si="9"/>
        <v>77874000</v>
      </c>
      <c r="J21" s="9">
        <f t="shared" si="9"/>
        <v>98175600</v>
      </c>
      <c r="K21" s="63">
        <f t="shared" si="9"/>
        <v>24969000</v>
      </c>
      <c r="L21" s="9">
        <f t="shared" si="9"/>
        <v>32864204</v>
      </c>
      <c r="M21" s="37">
        <f t="shared" si="9"/>
        <v>29052000</v>
      </c>
      <c r="N21" s="9">
        <f t="shared" si="9"/>
        <v>34352030</v>
      </c>
      <c r="O21" s="37">
        <f t="shared" si="9"/>
        <v>26431000</v>
      </c>
      <c r="P21" s="9">
        <f t="shared" si="9"/>
        <v>33603137</v>
      </c>
      <c r="Q21" s="37">
        <f t="shared" si="9"/>
        <v>80452000</v>
      </c>
      <c r="R21" s="9">
        <f t="shared" si="9"/>
        <v>100819371</v>
      </c>
      <c r="S21" s="37">
        <f t="shared" si="9"/>
        <v>158326000</v>
      </c>
      <c r="T21" s="9">
        <f t="shared" si="9"/>
        <v>198994971</v>
      </c>
      <c r="U21" s="63">
        <f t="shared" si="9"/>
        <v>27590000</v>
      </c>
      <c r="V21" s="9">
        <f t="shared" si="9"/>
        <v>31513487</v>
      </c>
      <c r="W21" s="37">
        <f t="shared" si="9"/>
        <v>26431000</v>
      </c>
      <c r="X21" s="9">
        <f t="shared" si="9"/>
        <v>33318041</v>
      </c>
      <c r="Y21" s="37">
        <f t="shared" si="9"/>
        <v>26430000</v>
      </c>
      <c r="Z21" s="9">
        <f t="shared" si="9"/>
        <v>32977335</v>
      </c>
      <c r="AA21" s="37">
        <f t="shared" si="9"/>
        <v>80451000</v>
      </c>
      <c r="AB21" s="9">
        <f t="shared" si="9"/>
        <v>97808863</v>
      </c>
      <c r="AC21" s="63">
        <f t="shared" si="9"/>
        <v>26429000</v>
      </c>
      <c r="AD21" s="9">
        <f t="shared" si="9"/>
        <v>31790843</v>
      </c>
      <c r="AE21" s="37">
        <f t="shared" si="9"/>
        <v>27794000</v>
      </c>
      <c r="AF21" s="9">
        <f t="shared" si="9"/>
        <v>31726148</v>
      </c>
      <c r="AG21" s="37">
        <f t="shared" si="9"/>
        <v>23627000</v>
      </c>
      <c r="AH21" s="9">
        <f t="shared" si="9"/>
        <v>31986252</v>
      </c>
      <c r="AI21" s="37">
        <f t="shared" si="9"/>
        <v>77850000</v>
      </c>
      <c r="AJ21" s="9">
        <f t="shared" si="9"/>
        <v>95503243</v>
      </c>
      <c r="AK21" s="37">
        <f t="shared" si="9"/>
        <v>158301000</v>
      </c>
      <c r="AL21" s="9">
        <f t="shared" si="9"/>
        <v>193312106</v>
      </c>
      <c r="AM21" s="63">
        <f t="shared" si="6"/>
        <v>316627000</v>
      </c>
      <c r="AN21" s="9">
        <f t="shared" si="7"/>
        <v>392307077</v>
      </c>
    </row>
    <row r="22" spans="1:40" s="11" customFormat="1" ht="20.25" customHeight="1" thickBot="1" x14ac:dyDescent="0.2">
      <c r="A22" s="210" t="s">
        <v>29</v>
      </c>
      <c r="B22" s="211"/>
      <c r="C22" s="38">
        <f>IF(C5=0,"        ―",C21/C5)</f>
        <v>0.19255737704918033</v>
      </c>
      <c r="D22" s="10">
        <f t="shared" ref="D22:AN22" si="10">IF(D5=0,"        ―",D21/D5)</f>
        <v>0.2444426916857414</v>
      </c>
      <c r="E22" s="38">
        <f t="shared" si="10"/>
        <v>0.19487967914438503</v>
      </c>
      <c r="F22" s="10">
        <f t="shared" si="10"/>
        <v>0.22938742310537474</v>
      </c>
      <c r="G22" s="38">
        <f t="shared" si="10"/>
        <v>0.19406153846153845</v>
      </c>
      <c r="H22" s="10">
        <f t="shared" si="10"/>
        <v>0.23207573302256751</v>
      </c>
      <c r="I22" s="38">
        <f t="shared" si="10"/>
        <v>0.19390936254980079</v>
      </c>
      <c r="J22" s="10">
        <f t="shared" si="10"/>
        <v>0.23490171149166483</v>
      </c>
      <c r="K22" s="64">
        <f t="shared" si="10"/>
        <v>0.194009324009324</v>
      </c>
      <c r="L22" s="10">
        <f t="shared" si="10"/>
        <v>0.23882890265253662</v>
      </c>
      <c r="M22" s="38">
        <f t="shared" si="10"/>
        <v>0.19484909456740443</v>
      </c>
      <c r="N22" s="10">
        <f t="shared" si="10"/>
        <v>0.22361946801058344</v>
      </c>
      <c r="O22" s="38">
        <f t="shared" si="10"/>
        <v>0.19434558823529413</v>
      </c>
      <c r="P22" s="10">
        <f t="shared" si="10"/>
        <v>0.22776782463547299</v>
      </c>
      <c r="Q22" s="38">
        <f t="shared" si="10"/>
        <v>0.19442242629289511</v>
      </c>
      <c r="R22" s="10">
        <f t="shared" si="10"/>
        <v>0.22978444174948345</v>
      </c>
      <c r="S22" s="38">
        <f t="shared" si="10"/>
        <v>0.19416973264655385</v>
      </c>
      <c r="T22" s="10">
        <f t="shared" si="10"/>
        <v>0.23228091618152744</v>
      </c>
      <c r="U22" s="64">
        <f t="shared" si="10"/>
        <v>0.19456981664315937</v>
      </c>
      <c r="V22" s="10">
        <f t="shared" si="10"/>
        <v>0.20753021217626061</v>
      </c>
      <c r="W22" s="38">
        <f t="shared" si="10"/>
        <v>0.19434558823529413</v>
      </c>
      <c r="X22" s="10">
        <f t="shared" si="10"/>
        <v>0.22432467301207973</v>
      </c>
      <c r="Y22" s="38">
        <f t="shared" si="10"/>
        <v>0.19433823529411764</v>
      </c>
      <c r="Z22" s="10">
        <f t="shared" si="10"/>
        <v>0.2195029618687418</v>
      </c>
      <c r="AA22" s="38">
        <f t="shared" si="10"/>
        <v>0.19442000966650555</v>
      </c>
      <c r="AB22" s="10">
        <f t="shared" si="10"/>
        <v>0.21705759228238355</v>
      </c>
      <c r="AC22" s="64">
        <f t="shared" si="10"/>
        <v>0.19433088235294119</v>
      </c>
      <c r="AD22" s="10">
        <f t="shared" si="10"/>
        <v>0.21566406407724331</v>
      </c>
      <c r="AE22" s="38">
        <f t="shared" si="10"/>
        <v>0.19463585434173669</v>
      </c>
      <c r="AF22" s="10">
        <f t="shared" si="10"/>
        <v>0.21532806267769819</v>
      </c>
      <c r="AG22" s="38">
        <f t="shared" si="10"/>
        <v>0.19366393442622951</v>
      </c>
      <c r="AH22" s="10">
        <f t="shared" si="10"/>
        <v>0.22134312616365373</v>
      </c>
      <c r="AI22" s="38">
        <f t="shared" si="10"/>
        <v>0.1942365269461078</v>
      </c>
      <c r="AJ22" s="10">
        <f t="shared" si="10"/>
        <v>0.21741969504032568</v>
      </c>
      <c r="AK22" s="38">
        <f t="shared" si="10"/>
        <v>0.19432973238399215</v>
      </c>
      <c r="AL22" s="10">
        <f t="shared" si="10"/>
        <v>0.21723633340502396</v>
      </c>
      <c r="AM22" s="64">
        <f t="shared" si="10"/>
        <v>0.19424969325153374</v>
      </c>
      <c r="AN22" s="10">
        <f t="shared" si="10"/>
        <v>0.22461576323535573</v>
      </c>
    </row>
    <row r="23" spans="1:40" ht="20.25" customHeight="1" x14ac:dyDescent="0.15">
      <c r="A23" s="25" t="s">
        <v>30</v>
      </c>
      <c r="B23" s="3" t="s">
        <v>31</v>
      </c>
      <c r="C23" s="34">
        <v>9800000</v>
      </c>
      <c r="D23" s="4">
        <v>7158326</v>
      </c>
      <c r="E23" s="34">
        <v>9800000</v>
      </c>
      <c r="F23" s="4">
        <v>7161420</v>
      </c>
      <c r="G23" s="34">
        <v>9800000</v>
      </c>
      <c r="H23" s="4">
        <v>7225764</v>
      </c>
      <c r="I23" s="151">
        <f>C23+E23+G23</f>
        <v>29400000</v>
      </c>
      <c r="J23" s="117">
        <f>D23+F23+H23</f>
        <v>21545510</v>
      </c>
      <c r="K23" s="60">
        <v>9800000</v>
      </c>
      <c r="L23" s="4">
        <v>7206150</v>
      </c>
      <c r="M23" s="34">
        <v>9800000</v>
      </c>
      <c r="N23" s="4">
        <v>7035945</v>
      </c>
      <c r="O23" s="34">
        <v>9800000</v>
      </c>
      <c r="P23" s="4">
        <v>6739760</v>
      </c>
      <c r="Q23" s="151"/>
      <c r="R23" s="117"/>
      <c r="S23" s="151"/>
      <c r="T23" s="117">
        <f t="shared" ref="T23:T57" si="11">J23+R23</f>
        <v>21545510</v>
      </c>
      <c r="U23" s="60">
        <v>9800000</v>
      </c>
      <c r="V23" s="4">
        <v>6679000</v>
      </c>
      <c r="W23" s="34">
        <v>9800000</v>
      </c>
      <c r="X23" s="4">
        <v>6739214</v>
      </c>
      <c r="Y23" s="34">
        <v>9800000</v>
      </c>
      <c r="Z23" s="4">
        <v>6656898</v>
      </c>
      <c r="AA23" s="151">
        <f>U23+W23+Y23</f>
        <v>29400000</v>
      </c>
      <c r="AB23" s="117">
        <f>V23+X23+Z23</f>
        <v>20075112</v>
      </c>
      <c r="AC23" s="60">
        <v>9800000</v>
      </c>
      <c r="AD23" s="4">
        <v>6652859</v>
      </c>
      <c r="AE23" s="34">
        <v>9800000</v>
      </c>
      <c r="AF23" s="4">
        <v>6655236</v>
      </c>
      <c r="AG23" s="34">
        <v>9800000</v>
      </c>
      <c r="AH23" s="4">
        <v>6650734</v>
      </c>
      <c r="AI23" s="151">
        <f>AC23+AE23+AG23</f>
        <v>29400000</v>
      </c>
      <c r="AJ23" s="117">
        <f>AD23+AF23+AH23</f>
        <v>19958829</v>
      </c>
      <c r="AK23" s="151">
        <f>AA23+AI23</f>
        <v>58800000</v>
      </c>
      <c r="AL23" s="117">
        <f>AB23+AJ23</f>
        <v>40033941</v>
      </c>
      <c r="AM23" s="129">
        <f t="shared" ref="AM23:AM60" si="12">SUM(C23,E23,G23,K23,M23,O23,U23,W23,Y23,AC23,AE23,AG23)</f>
        <v>117600000</v>
      </c>
      <c r="AN23" s="117">
        <f t="shared" ref="AN23:AN60" si="13">SUM(D23,F23,H23,L23,N23,P23,V23,X23,Z23,AD23,AF23,AH23)</f>
        <v>82561306</v>
      </c>
    </row>
    <row r="24" spans="1:40" ht="20.25" customHeight="1" x14ac:dyDescent="0.15">
      <c r="A24" s="21" t="s">
        <v>80</v>
      </c>
      <c r="B24" s="5" t="s">
        <v>32</v>
      </c>
      <c r="C24" s="34"/>
      <c r="D24" s="4">
        <v>0</v>
      </c>
      <c r="E24" s="34"/>
      <c r="F24" s="4">
        <v>0</v>
      </c>
      <c r="G24" s="34"/>
      <c r="H24" s="4">
        <v>0</v>
      </c>
      <c r="I24" s="151">
        <f t="shared" ref="I24:J30" si="14">C24+E24+G24</f>
        <v>0</v>
      </c>
      <c r="J24" s="117">
        <f t="shared" si="14"/>
        <v>0</v>
      </c>
      <c r="K24" s="60"/>
      <c r="L24" s="4">
        <v>0</v>
      </c>
      <c r="M24" s="34"/>
      <c r="N24" s="4">
        <v>0</v>
      </c>
      <c r="O24" s="34"/>
      <c r="P24" s="4">
        <v>0</v>
      </c>
      <c r="Q24" s="151"/>
      <c r="R24" s="117"/>
      <c r="S24" s="151"/>
      <c r="T24" s="117">
        <f t="shared" si="11"/>
        <v>0</v>
      </c>
      <c r="U24" s="60"/>
      <c r="V24" s="4">
        <v>0</v>
      </c>
      <c r="W24" s="34"/>
      <c r="X24" s="4">
        <v>0</v>
      </c>
      <c r="Y24" s="34"/>
      <c r="Z24" s="4">
        <v>0</v>
      </c>
      <c r="AA24" s="151">
        <f t="shared" ref="AA24:AB31" si="15">U24+W24+Y24</f>
        <v>0</v>
      </c>
      <c r="AB24" s="117">
        <f t="shared" si="15"/>
        <v>0</v>
      </c>
      <c r="AC24" s="60"/>
      <c r="AD24" s="4">
        <v>0</v>
      </c>
      <c r="AE24" s="34"/>
      <c r="AF24" s="4">
        <v>0</v>
      </c>
      <c r="AG24" s="34"/>
      <c r="AH24" s="4">
        <v>0</v>
      </c>
      <c r="AI24" s="151">
        <f t="shared" ref="AI24:AJ31" si="16">AC24+AE24+AG24</f>
        <v>0</v>
      </c>
      <c r="AJ24" s="117">
        <f t="shared" si="16"/>
        <v>0</v>
      </c>
      <c r="AK24" s="151">
        <f t="shared" ref="AK24:AL31" si="17">AA24+AI24</f>
        <v>0</v>
      </c>
      <c r="AL24" s="117">
        <f t="shared" si="17"/>
        <v>0</v>
      </c>
      <c r="AM24" s="129">
        <f t="shared" si="12"/>
        <v>0</v>
      </c>
      <c r="AN24" s="117">
        <f t="shared" si="13"/>
        <v>0</v>
      </c>
    </row>
    <row r="25" spans="1:40" ht="20.25" customHeight="1" x14ac:dyDescent="0.15">
      <c r="A25" s="23"/>
      <c r="B25" s="5" t="s">
        <v>33</v>
      </c>
      <c r="C25" s="34"/>
      <c r="D25" s="4">
        <v>0</v>
      </c>
      <c r="E25" s="34"/>
      <c r="F25" s="4">
        <v>0</v>
      </c>
      <c r="G25" s="34"/>
      <c r="H25" s="4">
        <v>0</v>
      </c>
      <c r="I25" s="151">
        <f t="shared" si="14"/>
        <v>0</v>
      </c>
      <c r="J25" s="117">
        <f t="shared" si="14"/>
        <v>0</v>
      </c>
      <c r="K25" s="60"/>
      <c r="L25" s="4">
        <v>0</v>
      </c>
      <c r="M25" s="34"/>
      <c r="N25" s="4">
        <v>0</v>
      </c>
      <c r="O25" s="34"/>
      <c r="P25" s="4">
        <v>0</v>
      </c>
      <c r="Q25" s="151"/>
      <c r="R25" s="117"/>
      <c r="S25" s="151"/>
      <c r="T25" s="117">
        <f t="shared" si="11"/>
        <v>0</v>
      </c>
      <c r="U25" s="60"/>
      <c r="V25" s="4">
        <v>0</v>
      </c>
      <c r="W25" s="34"/>
      <c r="X25" s="4">
        <v>0</v>
      </c>
      <c r="Y25" s="34"/>
      <c r="Z25" s="4">
        <v>0</v>
      </c>
      <c r="AA25" s="151">
        <f t="shared" si="15"/>
        <v>0</v>
      </c>
      <c r="AB25" s="117">
        <f t="shared" si="15"/>
        <v>0</v>
      </c>
      <c r="AC25" s="60"/>
      <c r="AD25" s="4">
        <v>0</v>
      </c>
      <c r="AE25" s="34"/>
      <c r="AF25" s="4">
        <v>6500000</v>
      </c>
      <c r="AG25" s="34"/>
      <c r="AH25" s="4">
        <v>0</v>
      </c>
      <c r="AI25" s="151">
        <f t="shared" si="16"/>
        <v>0</v>
      </c>
      <c r="AJ25" s="117">
        <f t="shared" si="16"/>
        <v>6500000</v>
      </c>
      <c r="AK25" s="151">
        <f t="shared" si="17"/>
        <v>0</v>
      </c>
      <c r="AL25" s="117">
        <f t="shared" si="17"/>
        <v>6500000</v>
      </c>
      <c r="AM25" s="129">
        <f t="shared" si="12"/>
        <v>0</v>
      </c>
      <c r="AN25" s="117">
        <f t="shared" si="13"/>
        <v>6500000</v>
      </c>
    </row>
    <row r="26" spans="1:40" ht="20.25" customHeight="1" x14ac:dyDescent="0.15">
      <c r="A26" s="23"/>
      <c r="B26" s="5" t="s">
        <v>22</v>
      </c>
      <c r="C26" s="34">
        <v>540000</v>
      </c>
      <c r="D26" s="4">
        <v>367866</v>
      </c>
      <c r="E26" s="34">
        <v>540000</v>
      </c>
      <c r="F26" s="4">
        <v>365365</v>
      </c>
      <c r="G26" s="34">
        <v>540000</v>
      </c>
      <c r="H26" s="4">
        <v>413983</v>
      </c>
      <c r="I26" s="151">
        <f t="shared" si="14"/>
        <v>1620000</v>
      </c>
      <c r="J26" s="117">
        <f t="shared" si="14"/>
        <v>1147214</v>
      </c>
      <c r="K26" s="60">
        <v>540000</v>
      </c>
      <c r="L26" s="4">
        <v>392448</v>
      </c>
      <c r="M26" s="34">
        <v>540000</v>
      </c>
      <c r="N26" s="4">
        <v>376096</v>
      </c>
      <c r="O26" s="34">
        <v>540000</v>
      </c>
      <c r="P26" s="4">
        <v>357700</v>
      </c>
      <c r="Q26" s="151"/>
      <c r="R26" s="117"/>
      <c r="S26" s="151"/>
      <c r="T26" s="117">
        <f t="shared" si="11"/>
        <v>1147214</v>
      </c>
      <c r="U26" s="60">
        <v>540000</v>
      </c>
      <c r="V26" s="4">
        <v>349524</v>
      </c>
      <c r="W26" s="34">
        <v>540000</v>
      </c>
      <c r="X26" s="4">
        <v>352590</v>
      </c>
      <c r="Y26" s="34">
        <v>540000</v>
      </c>
      <c r="Z26" s="4">
        <v>352590</v>
      </c>
      <c r="AA26" s="151">
        <f t="shared" si="15"/>
        <v>1620000</v>
      </c>
      <c r="AB26" s="117">
        <f t="shared" si="15"/>
        <v>1054704</v>
      </c>
      <c r="AC26" s="60">
        <v>540000</v>
      </c>
      <c r="AD26" s="4">
        <v>352590</v>
      </c>
      <c r="AE26" s="34">
        <v>540000</v>
      </c>
      <c r="AF26" s="4">
        <v>352590</v>
      </c>
      <c r="AG26" s="34">
        <v>540000</v>
      </c>
      <c r="AH26" s="4">
        <v>352590</v>
      </c>
      <c r="AI26" s="151">
        <f t="shared" si="16"/>
        <v>1620000</v>
      </c>
      <c r="AJ26" s="117">
        <f t="shared" si="16"/>
        <v>1057770</v>
      </c>
      <c r="AK26" s="151">
        <f t="shared" si="17"/>
        <v>3240000</v>
      </c>
      <c r="AL26" s="117">
        <f t="shared" si="17"/>
        <v>2112474</v>
      </c>
      <c r="AM26" s="129">
        <f t="shared" si="12"/>
        <v>6480000</v>
      </c>
      <c r="AN26" s="117">
        <f t="shared" si="13"/>
        <v>4385932</v>
      </c>
    </row>
    <row r="27" spans="1:40" ht="20.25" customHeight="1" x14ac:dyDescent="0.15">
      <c r="A27" s="23"/>
      <c r="B27" s="5" t="s">
        <v>67</v>
      </c>
      <c r="C27" s="34"/>
      <c r="D27" s="4">
        <v>31770</v>
      </c>
      <c r="E27" s="34"/>
      <c r="F27" s="4">
        <v>28946</v>
      </c>
      <c r="G27" s="34"/>
      <c r="H27" s="4">
        <v>34280</v>
      </c>
      <c r="I27" s="151">
        <f t="shared" si="14"/>
        <v>0</v>
      </c>
      <c r="J27" s="117">
        <f t="shared" si="14"/>
        <v>94996</v>
      </c>
      <c r="K27" s="60"/>
      <c r="L27" s="4">
        <v>30668</v>
      </c>
      <c r="M27" s="34"/>
      <c r="N27" s="4">
        <v>30668</v>
      </c>
      <c r="O27" s="34"/>
      <c r="P27" s="4">
        <v>30668</v>
      </c>
      <c r="Q27" s="151"/>
      <c r="R27" s="117"/>
      <c r="S27" s="151"/>
      <c r="T27" s="117">
        <f t="shared" si="11"/>
        <v>94996</v>
      </c>
      <c r="U27" s="60"/>
      <c r="V27" s="4">
        <v>29356</v>
      </c>
      <c r="W27" s="34"/>
      <c r="X27" s="4">
        <v>29110</v>
      </c>
      <c r="Y27" s="34"/>
      <c r="Z27" s="4">
        <v>29110</v>
      </c>
      <c r="AA27" s="151">
        <f t="shared" si="15"/>
        <v>0</v>
      </c>
      <c r="AB27" s="117">
        <f t="shared" si="15"/>
        <v>87576</v>
      </c>
      <c r="AC27" s="60"/>
      <c r="AD27" s="4">
        <v>29110</v>
      </c>
      <c r="AE27" s="34"/>
      <c r="AF27" s="4">
        <v>29110</v>
      </c>
      <c r="AG27" s="34"/>
      <c r="AH27" s="4">
        <v>29110</v>
      </c>
      <c r="AI27" s="151">
        <f t="shared" si="16"/>
        <v>0</v>
      </c>
      <c r="AJ27" s="117">
        <f t="shared" si="16"/>
        <v>87330</v>
      </c>
      <c r="AK27" s="151">
        <f t="shared" si="17"/>
        <v>0</v>
      </c>
      <c r="AL27" s="117">
        <f t="shared" si="17"/>
        <v>174906</v>
      </c>
      <c r="AM27" s="129">
        <f t="shared" si="12"/>
        <v>0</v>
      </c>
      <c r="AN27" s="117">
        <f t="shared" si="13"/>
        <v>361906</v>
      </c>
    </row>
    <row r="28" spans="1:40" ht="20.25" customHeight="1" x14ac:dyDescent="0.15">
      <c r="A28" s="23"/>
      <c r="B28" s="5" t="s">
        <v>23</v>
      </c>
      <c r="C28" s="34">
        <v>824000</v>
      </c>
      <c r="D28" s="4">
        <v>638670</v>
      </c>
      <c r="E28" s="34">
        <v>824000</v>
      </c>
      <c r="F28" s="4">
        <v>638670</v>
      </c>
      <c r="G28" s="34">
        <v>824000</v>
      </c>
      <c r="H28" s="4">
        <v>667950</v>
      </c>
      <c r="I28" s="151">
        <f t="shared" si="14"/>
        <v>2472000</v>
      </c>
      <c r="J28" s="117">
        <f t="shared" si="14"/>
        <v>1945290</v>
      </c>
      <c r="K28" s="60">
        <v>824000</v>
      </c>
      <c r="L28" s="4">
        <v>667950</v>
      </c>
      <c r="M28" s="34">
        <v>824000</v>
      </c>
      <c r="N28" s="4">
        <v>638670</v>
      </c>
      <c r="O28" s="34">
        <v>824000</v>
      </c>
      <c r="P28" s="4">
        <v>605730</v>
      </c>
      <c r="Q28" s="151"/>
      <c r="R28" s="117"/>
      <c r="S28" s="151"/>
      <c r="T28" s="117">
        <f t="shared" si="11"/>
        <v>1945290</v>
      </c>
      <c r="U28" s="60">
        <v>824000</v>
      </c>
      <c r="V28" s="4">
        <v>591090</v>
      </c>
      <c r="W28" s="34">
        <v>824000</v>
      </c>
      <c r="X28" s="4">
        <v>596580</v>
      </c>
      <c r="Y28" s="34">
        <v>824000</v>
      </c>
      <c r="Z28" s="4">
        <v>596580</v>
      </c>
      <c r="AA28" s="151">
        <f t="shared" si="15"/>
        <v>2472000</v>
      </c>
      <c r="AB28" s="117">
        <f t="shared" si="15"/>
        <v>1784250</v>
      </c>
      <c r="AC28" s="60">
        <v>824000</v>
      </c>
      <c r="AD28" s="4">
        <v>596580</v>
      </c>
      <c r="AE28" s="34">
        <v>824000</v>
      </c>
      <c r="AF28" s="4">
        <v>596580</v>
      </c>
      <c r="AG28" s="34">
        <v>824000</v>
      </c>
      <c r="AH28" s="4">
        <v>596580</v>
      </c>
      <c r="AI28" s="151">
        <f t="shared" si="16"/>
        <v>2472000</v>
      </c>
      <c r="AJ28" s="117">
        <f t="shared" si="16"/>
        <v>1789740</v>
      </c>
      <c r="AK28" s="151">
        <f t="shared" si="17"/>
        <v>4944000</v>
      </c>
      <c r="AL28" s="117">
        <f t="shared" si="17"/>
        <v>3573990</v>
      </c>
      <c r="AM28" s="129">
        <f t="shared" si="12"/>
        <v>9888000</v>
      </c>
      <c r="AN28" s="117">
        <f t="shared" si="13"/>
        <v>7431630</v>
      </c>
    </row>
    <row r="29" spans="1:40" ht="20.25" customHeight="1" x14ac:dyDescent="0.15">
      <c r="A29" s="23"/>
      <c r="B29" s="5" t="s">
        <v>24</v>
      </c>
      <c r="C29" s="154">
        <v>54000</v>
      </c>
      <c r="D29" s="4">
        <v>44346</v>
      </c>
      <c r="E29" s="154">
        <v>54000</v>
      </c>
      <c r="F29" s="4">
        <v>44366</v>
      </c>
      <c r="G29" s="34">
        <v>54000</v>
      </c>
      <c r="H29" s="4">
        <v>44750</v>
      </c>
      <c r="I29" s="197">
        <f>C29+E29+G29</f>
        <v>162000</v>
      </c>
      <c r="J29" s="117">
        <f t="shared" si="14"/>
        <v>133462</v>
      </c>
      <c r="K29" s="155">
        <v>54000</v>
      </c>
      <c r="L29" s="4">
        <v>44632</v>
      </c>
      <c r="M29" s="154">
        <v>54000</v>
      </c>
      <c r="N29" s="4">
        <v>43612</v>
      </c>
      <c r="O29" s="154">
        <v>54000</v>
      </c>
      <c r="P29" s="4">
        <v>41834</v>
      </c>
      <c r="Q29" s="197"/>
      <c r="R29" s="117"/>
      <c r="S29" s="197"/>
      <c r="T29" s="117">
        <f t="shared" si="11"/>
        <v>133462</v>
      </c>
      <c r="U29" s="155">
        <v>54000</v>
      </c>
      <c r="V29" s="4">
        <v>41470</v>
      </c>
      <c r="W29" s="154">
        <v>54000</v>
      </c>
      <c r="X29" s="4">
        <v>69722</v>
      </c>
      <c r="Y29" s="154">
        <v>54000</v>
      </c>
      <c r="Z29" s="4">
        <v>68896</v>
      </c>
      <c r="AA29" s="197">
        <f t="shared" si="15"/>
        <v>162000</v>
      </c>
      <c r="AB29" s="117">
        <f t="shared" si="15"/>
        <v>180088</v>
      </c>
      <c r="AC29" s="155">
        <v>54000</v>
      </c>
      <c r="AD29" s="4">
        <v>68854</v>
      </c>
      <c r="AE29" s="155">
        <v>54000</v>
      </c>
      <c r="AF29" s="4">
        <v>68880</v>
      </c>
      <c r="AG29" s="154">
        <v>54000</v>
      </c>
      <c r="AH29" s="4">
        <v>68836</v>
      </c>
      <c r="AI29" s="197">
        <f t="shared" si="16"/>
        <v>162000</v>
      </c>
      <c r="AJ29" s="117">
        <f t="shared" si="16"/>
        <v>206570</v>
      </c>
      <c r="AK29" s="197">
        <f t="shared" si="17"/>
        <v>324000</v>
      </c>
      <c r="AL29" s="117">
        <f t="shared" si="17"/>
        <v>386658</v>
      </c>
      <c r="AM29" s="156">
        <f t="shared" si="12"/>
        <v>648000</v>
      </c>
      <c r="AN29" s="117">
        <f t="shared" si="13"/>
        <v>650198</v>
      </c>
    </row>
    <row r="30" spans="1:40" ht="20.25" customHeight="1" x14ac:dyDescent="0.15">
      <c r="A30" s="23"/>
      <c r="B30" s="5" t="s">
        <v>25</v>
      </c>
      <c r="C30" s="34">
        <v>29000</v>
      </c>
      <c r="D30" s="4">
        <v>22353.797999999999</v>
      </c>
      <c r="E30" s="34">
        <v>29000</v>
      </c>
      <c r="F30" s="4">
        <v>22363.08</v>
      </c>
      <c r="G30" s="34">
        <v>29000</v>
      </c>
      <c r="H30" s="4">
        <v>22556.112000000001</v>
      </c>
      <c r="I30" s="151">
        <f t="shared" si="14"/>
        <v>87000</v>
      </c>
      <c r="J30" s="117">
        <f t="shared" si="14"/>
        <v>67272.989999999991</v>
      </c>
      <c r="K30" s="60">
        <v>29000</v>
      </c>
      <c r="L30" s="4">
        <v>22497.27</v>
      </c>
      <c r="M30" s="34">
        <v>29000</v>
      </c>
      <c r="N30" s="4">
        <v>21986.654999999999</v>
      </c>
      <c r="O30" s="34">
        <v>29000</v>
      </c>
      <c r="P30" s="4">
        <v>21098.1</v>
      </c>
      <c r="Q30" s="151"/>
      <c r="R30" s="117"/>
      <c r="S30" s="151"/>
      <c r="T30" s="117">
        <f t="shared" si="11"/>
        <v>67272.989999999991</v>
      </c>
      <c r="U30" s="60">
        <v>29000</v>
      </c>
      <c r="V30" s="4">
        <v>20915.82</v>
      </c>
      <c r="W30" s="34">
        <v>29000</v>
      </c>
      <c r="X30" s="4">
        <v>21096.462</v>
      </c>
      <c r="Y30" s="34">
        <v>29000</v>
      </c>
      <c r="Z30" s="4">
        <v>20849.513999999999</v>
      </c>
      <c r="AA30" s="151">
        <f t="shared" si="15"/>
        <v>87000</v>
      </c>
      <c r="AB30" s="117">
        <f t="shared" si="15"/>
        <v>62861.796000000002</v>
      </c>
      <c r="AC30" s="60">
        <v>29000</v>
      </c>
      <c r="AD30" s="4">
        <v>20837.397000000001</v>
      </c>
      <c r="AE30" s="34">
        <v>29000</v>
      </c>
      <c r="AF30" s="4">
        <v>20844.527999999998</v>
      </c>
      <c r="AG30" s="34">
        <v>29000</v>
      </c>
      <c r="AH30" s="4">
        <v>20831.022000000001</v>
      </c>
      <c r="AI30" s="151">
        <f t="shared" si="16"/>
        <v>87000</v>
      </c>
      <c r="AJ30" s="117">
        <f t="shared" si="16"/>
        <v>62512.947</v>
      </c>
      <c r="AK30" s="151">
        <f t="shared" si="17"/>
        <v>174000</v>
      </c>
      <c r="AL30" s="117">
        <f t="shared" si="17"/>
        <v>125374.743</v>
      </c>
      <c r="AM30" s="129">
        <f t="shared" si="12"/>
        <v>348000</v>
      </c>
      <c r="AN30" s="117">
        <f>SUM(D30,F30,H30,L30,N30,P30,V30,X30,Z30,AD30,AF30,AH30)</f>
        <v>258229.75799999997</v>
      </c>
    </row>
    <row r="31" spans="1:40" ht="20.25" customHeight="1" thickBot="1" x14ac:dyDescent="0.2">
      <c r="A31" s="23"/>
      <c r="B31" s="6" t="s">
        <v>26</v>
      </c>
      <c r="C31" s="34">
        <v>450000</v>
      </c>
      <c r="D31" s="4">
        <v>292940</v>
      </c>
      <c r="E31" s="34">
        <v>450000</v>
      </c>
      <c r="F31" s="4">
        <v>292940</v>
      </c>
      <c r="G31" s="34">
        <v>450000</v>
      </c>
      <c r="H31" s="4">
        <v>292940</v>
      </c>
      <c r="I31" s="151">
        <f>C31+E31+G31</f>
        <v>1350000</v>
      </c>
      <c r="J31" s="117">
        <f>D31+F31+H31</f>
        <v>878820</v>
      </c>
      <c r="K31" s="60">
        <v>450000</v>
      </c>
      <c r="L31" s="4">
        <v>292940</v>
      </c>
      <c r="M31" s="34">
        <v>450000</v>
      </c>
      <c r="N31" s="4">
        <v>292940</v>
      </c>
      <c r="O31" s="34">
        <v>450000</v>
      </c>
      <c r="P31" s="4">
        <v>292940</v>
      </c>
      <c r="Q31" s="151"/>
      <c r="R31" s="117"/>
      <c r="S31" s="151"/>
      <c r="T31" s="117">
        <f t="shared" si="11"/>
        <v>878820</v>
      </c>
      <c r="U31" s="60">
        <v>450000</v>
      </c>
      <c r="V31" s="4">
        <v>292940</v>
      </c>
      <c r="W31" s="34">
        <v>450000</v>
      </c>
      <c r="X31" s="4">
        <v>292940</v>
      </c>
      <c r="Y31" s="34">
        <v>450000</v>
      </c>
      <c r="Z31" s="4">
        <v>292940</v>
      </c>
      <c r="AA31" s="151">
        <f t="shared" si="15"/>
        <v>1350000</v>
      </c>
      <c r="AB31" s="117">
        <f>V31+X31+Z31</f>
        <v>878820</v>
      </c>
      <c r="AC31" s="60">
        <v>450000</v>
      </c>
      <c r="AD31" s="4">
        <v>292940</v>
      </c>
      <c r="AE31" s="34">
        <v>450000</v>
      </c>
      <c r="AF31" s="4">
        <v>292940</v>
      </c>
      <c r="AG31" s="34">
        <v>450000</v>
      </c>
      <c r="AH31" s="4">
        <v>292940</v>
      </c>
      <c r="AI31" s="151">
        <f t="shared" si="16"/>
        <v>1350000</v>
      </c>
      <c r="AJ31" s="117">
        <f>AD31+AF31+AH31</f>
        <v>878820</v>
      </c>
      <c r="AK31" s="151">
        <f t="shared" si="17"/>
        <v>2700000</v>
      </c>
      <c r="AL31" s="117">
        <f t="shared" si="17"/>
        <v>1757640</v>
      </c>
      <c r="AM31" s="129">
        <f t="shared" si="12"/>
        <v>5400000</v>
      </c>
      <c r="AN31" s="117">
        <f t="shared" si="13"/>
        <v>3515280</v>
      </c>
    </row>
    <row r="32" spans="1:40" ht="20.25" customHeight="1" thickTop="1" thickBot="1" x14ac:dyDescent="0.2">
      <c r="A32" s="24"/>
      <c r="B32" s="12" t="s">
        <v>27</v>
      </c>
      <c r="C32" s="39">
        <f>SUM(C23:C31)</f>
        <v>11697000</v>
      </c>
      <c r="D32" s="13">
        <f t="shared" ref="D32:AL32" si="18">SUM(D23:D31)</f>
        <v>8556271.7980000004</v>
      </c>
      <c r="E32" s="39">
        <f t="shared" si="18"/>
        <v>11697000</v>
      </c>
      <c r="F32" s="13">
        <f t="shared" si="18"/>
        <v>8554070.0800000001</v>
      </c>
      <c r="G32" s="39">
        <f t="shared" si="18"/>
        <v>11697000</v>
      </c>
      <c r="H32" s="13">
        <f t="shared" si="18"/>
        <v>8702223.1119999997</v>
      </c>
      <c r="I32" s="39">
        <f>SUM(I23:I31)</f>
        <v>35091000</v>
      </c>
      <c r="J32" s="13">
        <f t="shared" si="18"/>
        <v>25812564.989999998</v>
      </c>
      <c r="K32" s="65">
        <f t="shared" si="18"/>
        <v>11697000</v>
      </c>
      <c r="L32" s="13">
        <f t="shared" si="18"/>
        <v>8657285.2699999996</v>
      </c>
      <c r="M32" s="39">
        <f t="shared" si="18"/>
        <v>11697000</v>
      </c>
      <c r="N32" s="13">
        <f t="shared" si="18"/>
        <v>8439917.6550000012</v>
      </c>
      <c r="O32" s="39">
        <f t="shared" si="18"/>
        <v>11697000</v>
      </c>
      <c r="P32" s="13">
        <f t="shared" si="18"/>
        <v>8089730.0999999996</v>
      </c>
      <c r="Q32" s="39">
        <f t="shared" si="18"/>
        <v>0</v>
      </c>
      <c r="R32" s="13">
        <f t="shared" si="18"/>
        <v>0</v>
      </c>
      <c r="S32" s="39">
        <f t="shared" si="18"/>
        <v>0</v>
      </c>
      <c r="T32" s="13">
        <f t="shared" si="18"/>
        <v>25812564.989999998</v>
      </c>
      <c r="U32" s="65">
        <f t="shared" si="18"/>
        <v>11697000</v>
      </c>
      <c r="V32" s="13">
        <f t="shared" si="18"/>
        <v>8004295.8200000003</v>
      </c>
      <c r="W32" s="39">
        <f t="shared" si="18"/>
        <v>11697000</v>
      </c>
      <c r="X32" s="13">
        <f t="shared" si="18"/>
        <v>8101252.4620000003</v>
      </c>
      <c r="Y32" s="39">
        <f t="shared" si="18"/>
        <v>11697000</v>
      </c>
      <c r="Z32" s="13">
        <f t="shared" si="18"/>
        <v>8017863.5140000004</v>
      </c>
      <c r="AA32" s="39">
        <f t="shared" si="18"/>
        <v>35091000</v>
      </c>
      <c r="AB32" s="13">
        <f t="shared" si="18"/>
        <v>24123411.796</v>
      </c>
      <c r="AC32" s="65">
        <f t="shared" si="18"/>
        <v>11697000</v>
      </c>
      <c r="AD32" s="13">
        <f>SUM(AD23:AD31)</f>
        <v>8013770.3969999999</v>
      </c>
      <c r="AE32" s="39">
        <f t="shared" si="18"/>
        <v>11697000</v>
      </c>
      <c r="AF32" s="13">
        <f t="shared" si="18"/>
        <v>14516180.528000001</v>
      </c>
      <c r="AG32" s="39">
        <f t="shared" si="18"/>
        <v>11697000</v>
      </c>
      <c r="AH32" s="13">
        <f t="shared" si="18"/>
        <v>8011621.0219999999</v>
      </c>
      <c r="AI32" s="39">
        <f t="shared" si="18"/>
        <v>35091000</v>
      </c>
      <c r="AJ32" s="13">
        <f t="shared" si="18"/>
        <v>30541571.947000001</v>
      </c>
      <c r="AK32" s="39">
        <f t="shared" si="18"/>
        <v>70182000</v>
      </c>
      <c r="AL32" s="13">
        <f t="shared" si="18"/>
        <v>54664983.743000001</v>
      </c>
      <c r="AM32" s="65">
        <f t="shared" si="12"/>
        <v>140364000</v>
      </c>
      <c r="AN32" s="13">
        <f>SUM(AN23:AN31)</f>
        <v>105664481.758</v>
      </c>
    </row>
    <row r="33" spans="1:40" ht="20.25" customHeight="1" x14ac:dyDescent="0.15">
      <c r="A33" s="25" t="s">
        <v>34</v>
      </c>
      <c r="B33" s="3" t="s">
        <v>35</v>
      </c>
      <c r="C33" s="34"/>
      <c r="D33" s="4">
        <f>9600+7968+38182</f>
        <v>55750</v>
      </c>
      <c r="E33" s="34"/>
      <c r="F33" s="4">
        <f>954+10110</f>
        <v>11064</v>
      </c>
      <c r="G33" s="34"/>
      <c r="H33" s="4">
        <f>9756+19200+1773</f>
        <v>30729</v>
      </c>
      <c r="I33" s="151">
        <f t="shared" ref="I33:I57" si="19">C33+E33+G33</f>
        <v>0</v>
      </c>
      <c r="J33" s="117">
        <f t="shared" ref="J33:J58" si="20">D33+F33+H33</f>
        <v>97543</v>
      </c>
      <c r="K33" s="60"/>
      <c r="L33" s="4">
        <f>3817+10110</f>
        <v>13927</v>
      </c>
      <c r="M33" s="34"/>
      <c r="N33" s="4">
        <f>6089+10110+10000+11072</f>
        <v>37271</v>
      </c>
      <c r="O33" s="34"/>
      <c r="P33" s="4">
        <f>6709+10110+5000</f>
        <v>21819</v>
      </c>
      <c r="Q33" s="151"/>
      <c r="R33" s="117"/>
      <c r="S33" s="151"/>
      <c r="T33" s="117">
        <f t="shared" si="11"/>
        <v>97543</v>
      </c>
      <c r="U33" s="60"/>
      <c r="V33" s="4">
        <f>7437+19200</f>
        <v>26637</v>
      </c>
      <c r="W33" s="34"/>
      <c r="X33" s="4">
        <f>6549+9600</f>
        <v>16149</v>
      </c>
      <c r="Y33" s="34"/>
      <c r="Z33" s="4">
        <f>6269+9600+10000+10000+30000+3137</f>
        <v>69006</v>
      </c>
      <c r="AA33" s="151">
        <f t="shared" ref="AA33:AA57" si="21">U33+W33+Y33</f>
        <v>0</v>
      </c>
      <c r="AB33" s="117">
        <f t="shared" ref="AB33:AB57" si="22">V33+X33+Z33</f>
        <v>111792</v>
      </c>
      <c r="AC33" s="60"/>
      <c r="AD33" s="4">
        <f>4395+10000+3000</f>
        <v>17395</v>
      </c>
      <c r="AE33" s="34"/>
      <c r="AF33" s="4">
        <f>3417+19200+50000+3289+48728+10188+5657+21487</f>
        <v>161966</v>
      </c>
      <c r="AG33" s="34"/>
      <c r="AH33" s="4">
        <f>1156+9600</f>
        <v>10756</v>
      </c>
      <c r="AI33" s="151">
        <f>AC33+AE33+AG33</f>
        <v>0</v>
      </c>
      <c r="AJ33" s="117">
        <f>AD33+AF33+AH33</f>
        <v>190117</v>
      </c>
      <c r="AK33" s="151">
        <f t="shared" ref="AK33:AL57" si="23">AA33+AI33</f>
        <v>0</v>
      </c>
      <c r="AL33" s="117">
        <f t="shared" si="23"/>
        <v>301909</v>
      </c>
      <c r="AM33" s="129">
        <f t="shared" si="12"/>
        <v>0</v>
      </c>
      <c r="AN33" s="117">
        <f t="shared" si="13"/>
        <v>472469</v>
      </c>
    </row>
    <row r="34" spans="1:40" ht="20.25" customHeight="1" x14ac:dyDescent="0.15">
      <c r="A34" s="23"/>
      <c r="B34" s="5" t="s">
        <v>36</v>
      </c>
      <c r="C34" s="34">
        <v>450000</v>
      </c>
      <c r="D34" s="4">
        <v>36295</v>
      </c>
      <c r="E34" s="34">
        <v>450000</v>
      </c>
      <c r="F34" s="4">
        <v>98051</v>
      </c>
      <c r="G34" s="34">
        <v>450000</v>
      </c>
      <c r="H34" s="4">
        <v>76221</v>
      </c>
      <c r="I34" s="151">
        <f t="shared" si="19"/>
        <v>1350000</v>
      </c>
      <c r="J34" s="117">
        <f t="shared" si="20"/>
        <v>210567</v>
      </c>
      <c r="K34" s="60">
        <v>450000</v>
      </c>
      <c r="L34" s="4">
        <v>84371</v>
      </c>
      <c r="M34" s="34">
        <v>450000</v>
      </c>
      <c r="N34" s="4">
        <v>103669</v>
      </c>
      <c r="O34" s="34">
        <v>450000</v>
      </c>
      <c r="P34" s="4">
        <v>58015</v>
      </c>
      <c r="Q34" s="151"/>
      <c r="R34" s="117"/>
      <c r="S34" s="151"/>
      <c r="T34" s="117">
        <f t="shared" si="11"/>
        <v>210567</v>
      </c>
      <c r="U34" s="60">
        <v>450000</v>
      </c>
      <c r="V34" s="4">
        <v>45351</v>
      </c>
      <c r="W34" s="34">
        <v>450000</v>
      </c>
      <c r="X34" s="4">
        <v>301888</v>
      </c>
      <c r="Y34" s="34">
        <v>450000</v>
      </c>
      <c r="Z34" s="4">
        <v>2041023</v>
      </c>
      <c r="AA34" s="151">
        <f t="shared" si="21"/>
        <v>1350000</v>
      </c>
      <c r="AB34" s="117">
        <f t="shared" si="22"/>
        <v>2388262</v>
      </c>
      <c r="AC34" s="60">
        <v>450000</v>
      </c>
      <c r="AD34" s="4">
        <v>453206</v>
      </c>
      <c r="AE34" s="34">
        <v>450000</v>
      </c>
      <c r="AF34" s="4">
        <v>57156</v>
      </c>
      <c r="AG34" s="34">
        <v>450000</v>
      </c>
      <c r="AH34" s="4">
        <v>31873</v>
      </c>
      <c r="AI34" s="151">
        <f t="shared" ref="AI34:AJ57" si="24">AC34+AE34+AG34</f>
        <v>1350000</v>
      </c>
      <c r="AJ34" s="117">
        <f t="shared" si="24"/>
        <v>542235</v>
      </c>
      <c r="AK34" s="151">
        <f t="shared" si="23"/>
        <v>2700000</v>
      </c>
      <c r="AL34" s="117">
        <f t="shared" si="23"/>
        <v>2930497</v>
      </c>
      <c r="AM34" s="129">
        <f t="shared" si="12"/>
        <v>5400000</v>
      </c>
      <c r="AN34" s="117">
        <f t="shared" si="13"/>
        <v>3387119</v>
      </c>
    </row>
    <row r="35" spans="1:40" ht="20.25" customHeight="1" x14ac:dyDescent="0.15">
      <c r="A35" s="23"/>
      <c r="B35" s="5" t="s">
        <v>37</v>
      </c>
      <c r="C35" s="34">
        <v>1518000</v>
      </c>
      <c r="D35" s="4">
        <v>1490610</v>
      </c>
      <c r="E35" s="34">
        <v>1518000</v>
      </c>
      <c r="F35" s="4">
        <v>1490610</v>
      </c>
      <c r="G35" s="34">
        <v>1518000</v>
      </c>
      <c r="H35" s="4">
        <v>1486973</v>
      </c>
      <c r="I35" s="151">
        <f t="shared" si="19"/>
        <v>4554000</v>
      </c>
      <c r="J35" s="117">
        <f t="shared" si="20"/>
        <v>4468193</v>
      </c>
      <c r="K35" s="60">
        <v>1518000</v>
      </c>
      <c r="L35" s="4">
        <v>350367</v>
      </c>
      <c r="M35" s="34">
        <v>1518000</v>
      </c>
      <c r="N35" s="4">
        <v>486913</v>
      </c>
      <c r="O35" s="34">
        <v>1518000</v>
      </c>
      <c r="P35" s="4">
        <v>233143</v>
      </c>
      <c r="Q35" s="151"/>
      <c r="R35" s="117"/>
      <c r="S35" s="151"/>
      <c r="T35" s="117">
        <f t="shared" si="11"/>
        <v>4468193</v>
      </c>
      <c r="U35" s="60">
        <v>1518000</v>
      </c>
      <c r="V35" s="4">
        <v>1371113</v>
      </c>
      <c r="W35" s="34">
        <v>1518000</v>
      </c>
      <c r="X35" s="4">
        <v>1437113</v>
      </c>
      <c r="Y35" s="34">
        <v>1518000</v>
      </c>
      <c r="Z35" s="4">
        <v>1438067</v>
      </c>
      <c r="AA35" s="151">
        <f t="shared" si="21"/>
        <v>4554000</v>
      </c>
      <c r="AB35" s="117">
        <f t="shared" si="22"/>
        <v>4246293</v>
      </c>
      <c r="AC35" s="60">
        <v>1518000</v>
      </c>
      <c r="AD35" s="4">
        <v>1443386</v>
      </c>
      <c r="AE35" s="34">
        <v>1518000</v>
      </c>
      <c r="AF35" s="4">
        <v>1437113</v>
      </c>
      <c r="AG35" s="34">
        <v>1518000</v>
      </c>
      <c r="AH35" s="4">
        <v>1448559</v>
      </c>
      <c r="AI35" s="151">
        <f t="shared" si="24"/>
        <v>4554000</v>
      </c>
      <c r="AJ35" s="117">
        <f t="shared" si="24"/>
        <v>4329058</v>
      </c>
      <c r="AK35" s="151">
        <f t="shared" si="23"/>
        <v>9108000</v>
      </c>
      <c r="AL35" s="117">
        <f t="shared" si="23"/>
        <v>8575351</v>
      </c>
      <c r="AM35" s="129">
        <f t="shared" si="12"/>
        <v>18216000</v>
      </c>
      <c r="AN35" s="117">
        <f t="shared" si="13"/>
        <v>14113967</v>
      </c>
    </row>
    <row r="36" spans="1:40" ht="20.25" customHeight="1" x14ac:dyDescent="0.15">
      <c r="A36" s="23"/>
      <c r="B36" s="5" t="s">
        <v>38</v>
      </c>
      <c r="C36" s="34">
        <v>750000</v>
      </c>
      <c r="D36" s="4">
        <v>310298</v>
      </c>
      <c r="E36" s="34">
        <v>750000</v>
      </c>
      <c r="F36" s="4">
        <v>310298</v>
      </c>
      <c r="G36" s="34">
        <v>750000</v>
      </c>
      <c r="H36" s="4">
        <v>310298</v>
      </c>
      <c r="I36" s="151">
        <f t="shared" si="19"/>
        <v>2250000</v>
      </c>
      <c r="J36" s="117">
        <f t="shared" si="20"/>
        <v>930894</v>
      </c>
      <c r="K36" s="60">
        <v>750000</v>
      </c>
      <c r="L36" s="4">
        <v>310298</v>
      </c>
      <c r="M36" s="34">
        <v>750000</v>
      </c>
      <c r="N36" s="4">
        <v>310298</v>
      </c>
      <c r="O36" s="34">
        <v>750000</v>
      </c>
      <c r="P36" s="4">
        <v>310298</v>
      </c>
      <c r="Q36" s="151"/>
      <c r="R36" s="117"/>
      <c r="S36" s="151"/>
      <c r="T36" s="117">
        <f t="shared" si="11"/>
        <v>930894</v>
      </c>
      <c r="U36" s="60">
        <v>750000</v>
      </c>
      <c r="V36" s="4">
        <v>367898</v>
      </c>
      <c r="W36" s="34">
        <v>750000</v>
      </c>
      <c r="X36" s="4">
        <v>339098</v>
      </c>
      <c r="Y36" s="34">
        <v>750000</v>
      </c>
      <c r="Z36" s="4">
        <v>339098</v>
      </c>
      <c r="AA36" s="151">
        <f t="shared" si="21"/>
        <v>2250000</v>
      </c>
      <c r="AB36" s="117">
        <f t="shared" si="22"/>
        <v>1046094</v>
      </c>
      <c r="AC36" s="60">
        <v>750000</v>
      </c>
      <c r="AD36" s="4">
        <v>498310</v>
      </c>
      <c r="AE36" s="34">
        <v>750000</v>
      </c>
      <c r="AF36" s="4">
        <v>336551</v>
      </c>
      <c r="AG36" s="34">
        <v>750000</v>
      </c>
      <c r="AH36" s="4">
        <v>336551</v>
      </c>
      <c r="AI36" s="151">
        <f t="shared" si="24"/>
        <v>2250000</v>
      </c>
      <c r="AJ36" s="117">
        <f t="shared" si="24"/>
        <v>1171412</v>
      </c>
      <c r="AK36" s="151">
        <f t="shared" si="23"/>
        <v>4500000</v>
      </c>
      <c r="AL36" s="117">
        <f t="shared" si="23"/>
        <v>2217506</v>
      </c>
      <c r="AM36" s="129">
        <f t="shared" si="12"/>
        <v>9000000</v>
      </c>
      <c r="AN36" s="117">
        <f t="shared" si="13"/>
        <v>4079294</v>
      </c>
    </row>
    <row r="37" spans="1:40" ht="20.25" customHeight="1" x14ac:dyDescent="0.15">
      <c r="A37" s="23"/>
      <c r="B37" s="5" t="s">
        <v>39</v>
      </c>
      <c r="C37" s="34">
        <v>249000</v>
      </c>
      <c r="D37" s="4">
        <v>25548</v>
      </c>
      <c r="E37" s="34">
        <v>249000</v>
      </c>
      <c r="F37" s="4">
        <v>25548</v>
      </c>
      <c r="G37" s="34">
        <v>249000</v>
      </c>
      <c r="H37" s="4">
        <v>25548</v>
      </c>
      <c r="I37" s="151">
        <f t="shared" si="19"/>
        <v>747000</v>
      </c>
      <c r="J37" s="117">
        <f t="shared" si="20"/>
        <v>76644</v>
      </c>
      <c r="K37" s="60">
        <v>249000</v>
      </c>
      <c r="L37" s="4">
        <v>25548</v>
      </c>
      <c r="M37" s="34">
        <v>249000</v>
      </c>
      <c r="N37" s="4">
        <v>25548</v>
      </c>
      <c r="O37" s="34">
        <v>249000</v>
      </c>
      <c r="P37" s="4">
        <v>25548</v>
      </c>
      <c r="Q37" s="151"/>
      <c r="R37" s="117"/>
      <c r="S37" s="151"/>
      <c r="T37" s="117">
        <f t="shared" si="11"/>
        <v>76644</v>
      </c>
      <c r="U37" s="60">
        <v>249000</v>
      </c>
      <c r="V37" s="4">
        <v>25548</v>
      </c>
      <c r="W37" s="34">
        <v>249000</v>
      </c>
      <c r="X37" s="4">
        <v>25548</v>
      </c>
      <c r="Y37" s="34">
        <v>249000</v>
      </c>
      <c r="Z37" s="4">
        <v>25548</v>
      </c>
      <c r="AA37" s="151">
        <f t="shared" si="21"/>
        <v>747000</v>
      </c>
      <c r="AB37" s="117">
        <f t="shared" si="22"/>
        <v>76644</v>
      </c>
      <c r="AC37" s="60">
        <v>249000</v>
      </c>
      <c r="AD37" s="4">
        <v>25548</v>
      </c>
      <c r="AE37" s="34">
        <v>249000</v>
      </c>
      <c r="AF37" s="4">
        <v>25548</v>
      </c>
      <c r="AG37" s="34">
        <v>249000</v>
      </c>
      <c r="AH37" s="4">
        <v>25548</v>
      </c>
      <c r="AI37" s="151">
        <f t="shared" si="24"/>
        <v>747000</v>
      </c>
      <c r="AJ37" s="117">
        <f t="shared" si="24"/>
        <v>76644</v>
      </c>
      <c r="AK37" s="151">
        <f t="shared" si="23"/>
        <v>1494000</v>
      </c>
      <c r="AL37" s="117">
        <f t="shared" si="23"/>
        <v>153288</v>
      </c>
      <c r="AM37" s="129">
        <f t="shared" si="12"/>
        <v>2988000</v>
      </c>
      <c r="AN37" s="117">
        <f t="shared" si="13"/>
        <v>306576</v>
      </c>
    </row>
    <row r="38" spans="1:40" ht="20.25" customHeight="1" x14ac:dyDescent="0.15">
      <c r="A38" s="23"/>
      <c r="B38" s="5" t="s">
        <v>40</v>
      </c>
      <c r="C38" s="34"/>
      <c r="D38" s="4"/>
      <c r="E38" s="34"/>
      <c r="F38" s="4"/>
      <c r="G38" s="34"/>
      <c r="H38" s="4"/>
      <c r="I38" s="151">
        <f t="shared" si="19"/>
        <v>0</v>
      </c>
      <c r="J38" s="117">
        <f t="shared" si="20"/>
        <v>0</v>
      </c>
      <c r="K38" s="60"/>
      <c r="L38" s="4"/>
      <c r="M38" s="34"/>
      <c r="N38" s="4"/>
      <c r="O38" s="34"/>
      <c r="P38" s="4"/>
      <c r="Q38" s="151"/>
      <c r="R38" s="117"/>
      <c r="S38" s="151"/>
      <c r="T38" s="117">
        <f t="shared" si="11"/>
        <v>0</v>
      </c>
      <c r="U38" s="60"/>
      <c r="V38" s="4"/>
      <c r="W38" s="34"/>
      <c r="X38" s="4"/>
      <c r="Y38" s="34"/>
      <c r="Z38" s="4"/>
      <c r="AA38" s="151">
        <f t="shared" si="21"/>
        <v>0</v>
      </c>
      <c r="AB38" s="117">
        <f t="shared" si="22"/>
        <v>0</v>
      </c>
      <c r="AC38" s="60"/>
      <c r="AD38" s="4"/>
      <c r="AE38" s="34"/>
      <c r="AF38" s="4"/>
      <c r="AG38" s="34"/>
      <c r="AH38" s="4"/>
      <c r="AI38" s="151">
        <f t="shared" si="24"/>
        <v>0</v>
      </c>
      <c r="AJ38" s="117">
        <f t="shared" si="24"/>
        <v>0</v>
      </c>
      <c r="AK38" s="151">
        <f t="shared" si="23"/>
        <v>0</v>
      </c>
      <c r="AL38" s="117">
        <f t="shared" si="23"/>
        <v>0</v>
      </c>
      <c r="AM38" s="129">
        <f t="shared" si="12"/>
        <v>0</v>
      </c>
      <c r="AN38" s="117">
        <f t="shared" si="13"/>
        <v>0</v>
      </c>
    </row>
    <row r="39" spans="1:40" ht="20.25" customHeight="1" x14ac:dyDescent="0.15">
      <c r="A39" s="23"/>
      <c r="B39" s="5" t="s">
        <v>41</v>
      </c>
      <c r="C39" s="34">
        <v>200000</v>
      </c>
      <c r="D39" s="4">
        <v>122192</v>
      </c>
      <c r="E39" s="34">
        <v>200000</v>
      </c>
      <c r="F39" s="4">
        <v>135637</v>
      </c>
      <c r="G39" s="34">
        <v>200000</v>
      </c>
      <c r="H39" s="4">
        <v>129125</v>
      </c>
      <c r="I39" s="151">
        <f t="shared" si="19"/>
        <v>600000</v>
      </c>
      <c r="J39" s="117">
        <f t="shared" si="20"/>
        <v>386954</v>
      </c>
      <c r="K39" s="60">
        <v>200000</v>
      </c>
      <c r="L39" s="4">
        <v>113169</v>
      </c>
      <c r="M39" s="34">
        <v>200000</v>
      </c>
      <c r="N39" s="4">
        <v>141997</v>
      </c>
      <c r="O39" s="34">
        <v>200000</v>
      </c>
      <c r="P39" s="4">
        <v>97310</v>
      </c>
      <c r="Q39" s="151"/>
      <c r="R39" s="117"/>
      <c r="S39" s="151"/>
      <c r="T39" s="117">
        <f t="shared" si="11"/>
        <v>386954</v>
      </c>
      <c r="U39" s="60">
        <v>200000</v>
      </c>
      <c r="V39" s="4">
        <v>83014</v>
      </c>
      <c r="W39" s="34">
        <v>200000</v>
      </c>
      <c r="X39" s="4">
        <v>75273</v>
      </c>
      <c r="Y39" s="34">
        <v>200000</v>
      </c>
      <c r="Z39" s="4">
        <v>74891</v>
      </c>
      <c r="AA39" s="151">
        <f t="shared" si="21"/>
        <v>600000</v>
      </c>
      <c r="AB39" s="117">
        <f t="shared" si="22"/>
        <v>233178</v>
      </c>
      <c r="AC39" s="60">
        <v>200000</v>
      </c>
      <c r="AD39" s="4">
        <v>53148</v>
      </c>
      <c r="AE39" s="34">
        <v>200000</v>
      </c>
      <c r="AF39" s="4">
        <v>102909</v>
      </c>
      <c r="AG39" s="34">
        <v>200000</v>
      </c>
      <c r="AH39" s="4">
        <v>89799</v>
      </c>
      <c r="AI39" s="151">
        <f t="shared" si="24"/>
        <v>600000</v>
      </c>
      <c r="AJ39" s="117">
        <f t="shared" si="24"/>
        <v>245856</v>
      </c>
      <c r="AK39" s="151">
        <f t="shared" si="23"/>
        <v>1200000</v>
      </c>
      <c r="AL39" s="117">
        <f t="shared" si="23"/>
        <v>479034</v>
      </c>
      <c r="AM39" s="129">
        <f t="shared" si="12"/>
        <v>2400000</v>
      </c>
      <c r="AN39" s="117">
        <f t="shared" si="13"/>
        <v>1218464</v>
      </c>
    </row>
    <row r="40" spans="1:40" ht="20.25" customHeight="1" x14ac:dyDescent="0.15">
      <c r="A40" s="23"/>
      <c r="B40" s="5" t="s">
        <v>42</v>
      </c>
      <c r="C40" s="34">
        <v>20000</v>
      </c>
      <c r="D40" s="4">
        <v>3637</v>
      </c>
      <c r="E40" s="34">
        <v>20000</v>
      </c>
      <c r="F40" s="4">
        <v>3637</v>
      </c>
      <c r="G40" s="34">
        <v>20000</v>
      </c>
      <c r="H40" s="4">
        <v>9877</v>
      </c>
      <c r="I40" s="151">
        <f t="shared" si="19"/>
        <v>60000</v>
      </c>
      <c r="J40" s="117">
        <f t="shared" si="20"/>
        <v>17151</v>
      </c>
      <c r="K40" s="60">
        <v>20000</v>
      </c>
      <c r="L40" s="4">
        <v>3704</v>
      </c>
      <c r="M40" s="34">
        <v>20000</v>
      </c>
      <c r="N40" s="4">
        <v>3704</v>
      </c>
      <c r="O40" s="34">
        <v>20000</v>
      </c>
      <c r="P40" s="4">
        <v>3704</v>
      </c>
      <c r="Q40" s="151"/>
      <c r="R40" s="117"/>
      <c r="S40" s="151"/>
      <c r="T40" s="117">
        <f t="shared" si="11"/>
        <v>17151</v>
      </c>
      <c r="U40" s="60">
        <v>20000</v>
      </c>
      <c r="V40" s="4">
        <v>30977</v>
      </c>
      <c r="W40" s="34">
        <v>20000</v>
      </c>
      <c r="X40" s="4">
        <v>3704</v>
      </c>
      <c r="Y40" s="34">
        <v>20000</v>
      </c>
      <c r="Z40" s="4">
        <v>3704</v>
      </c>
      <c r="AA40" s="151">
        <f t="shared" si="21"/>
        <v>60000</v>
      </c>
      <c r="AB40" s="117">
        <f t="shared" si="22"/>
        <v>38385</v>
      </c>
      <c r="AC40" s="60">
        <v>20000</v>
      </c>
      <c r="AD40" s="4">
        <v>7547</v>
      </c>
      <c r="AE40" s="34">
        <v>20000</v>
      </c>
      <c r="AF40" s="4">
        <v>9313</v>
      </c>
      <c r="AG40" s="34">
        <v>20000</v>
      </c>
      <c r="AH40" s="4">
        <v>4213</v>
      </c>
      <c r="AI40" s="151">
        <f t="shared" si="24"/>
        <v>60000</v>
      </c>
      <c r="AJ40" s="117">
        <f t="shared" si="24"/>
        <v>21073</v>
      </c>
      <c r="AK40" s="151">
        <f t="shared" si="23"/>
        <v>120000</v>
      </c>
      <c r="AL40" s="117">
        <f t="shared" si="23"/>
        <v>59458</v>
      </c>
      <c r="AM40" s="129">
        <f t="shared" si="12"/>
        <v>240000</v>
      </c>
      <c r="AN40" s="117">
        <f t="shared" si="13"/>
        <v>87721</v>
      </c>
    </row>
    <row r="41" spans="1:40" ht="20.25" customHeight="1" x14ac:dyDescent="0.15">
      <c r="A41" s="23"/>
      <c r="B41" s="5" t="s">
        <v>43</v>
      </c>
      <c r="C41" s="34">
        <v>150000</v>
      </c>
      <c r="D41" s="4">
        <v>62836</v>
      </c>
      <c r="E41" s="34">
        <v>150000</v>
      </c>
      <c r="F41" s="4">
        <v>68192</v>
      </c>
      <c r="G41" s="34">
        <v>150000</v>
      </c>
      <c r="H41" s="4">
        <v>73222</v>
      </c>
      <c r="I41" s="151">
        <f t="shared" si="19"/>
        <v>450000</v>
      </c>
      <c r="J41" s="117">
        <f t="shared" si="20"/>
        <v>204250</v>
      </c>
      <c r="K41" s="60">
        <v>150000</v>
      </c>
      <c r="L41" s="4">
        <v>69593</v>
      </c>
      <c r="M41" s="34">
        <v>150000</v>
      </c>
      <c r="N41" s="4">
        <v>103703</v>
      </c>
      <c r="O41" s="34">
        <v>150000</v>
      </c>
      <c r="P41" s="4">
        <v>55361</v>
      </c>
      <c r="Q41" s="151"/>
      <c r="R41" s="117"/>
      <c r="S41" s="151"/>
      <c r="T41" s="117">
        <f t="shared" si="11"/>
        <v>204250</v>
      </c>
      <c r="U41" s="60">
        <v>150000</v>
      </c>
      <c r="V41" s="4">
        <v>43703</v>
      </c>
      <c r="W41" s="34">
        <v>150000</v>
      </c>
      <c r="X41" s="4">
        <v>72286</v>
      </c>
      <c r="Y41" s="34">
        <v>150000</v>
      </c>
      <c r="Z41" s="4">
        <v>70920</v>
      </c>
      <c r="AA41" s="151">
        <f t="shared" si="21"/>
        <v>450000</v>
      </c>
      <c r="AB41" s="117">
        <f t="shared" si="22"/>
        <v>186909</v>
      </c>
      <c r="AC41" s="60">
        <v>150000</v>
      </c>
      <c r="AD41" s="4">
        <v>59583</v>
      </c>
      <c r="AE41" s="34">
        <v>150000</v>
      </c>
      <c r="AF41" s="4">
        <v>82280</v>
      </c>
      <c r="AG41" s="34">
        <v>150000</v>
      </c>
      <c r="AH41" s="4">
        <v>59050</v>
      </c>
      <c r="AI41" s="151">
        <f t="shared" si="24"/>
        <v>450000</v>
      </c>
      <c r="AJ41" s="117">
        <f t="shared" si="24"/>
        <v>200913</v>
      </c>
      <c r="AK41" s="151">
        <f t="shared" si="23"/>
        <v>900000</v>
      </c>
      <c r="AL41" s="117">
        <f t="shared" si="23"/>
        <v>387822</v>
      </c>
      <c r="AM41" s="129">
        <f t="shared" si="12"/>
        <v>1800000</v>
      </c>
      <c r="AN41" s="117">
        <f t="shared" si="13"/>
        <v>820729</v>
      </c>
    </row>
    <row r="42" spans="1:40" ht="20.25" customHeight="1" x14ac:dyDescent="0.15">
      <c r="A42" s="23"/>
      <c r="B42" s="5" t="s">
        <v>44</v>
      </c>
      <c r="C42" s="34">
        <v>150000</v>
      </c>
      <c r="D42" s="4"/>
      <c r="E42" s="34">
        <v>150000</v>
      </c>
      <c r="F42" s="4"/>
      <c r="G42" s="34">
        <v>150000</v>
      </c>
      <c r="H42" s="4"/>
      <c r="I42" s="151">
        <f t="shared" si="19"/>
        <v>450000</v>
      </c>
      <c r="J42" s="117">
        <f t="shared" si="20"/>
        <v>0</v>
      </c>
      <c r="K42" s="60">
        <v>150000</v>
      </c>
      <c r="L42" s="4"/>
      <c r="M42" s="34">
        <v>150000</v>
      </c>
      <c r="N42" s="4">
        <v>67800</v>
      </c>
      <c r="O42" s="34">
        <v>150000</v>
      </c>
      <c r="P42" s="4"/>
      <c r="Q42" s="151"/>
      <c r="R42" s="117"/>
      <c r="S42" s="151"/>
      <c r="T42" s="117">
        <f t="shared" si="11"/>
        <v>0</v>
      </c>
      <c r="U42" s="60">
        <v>150000</v>
      </c>
      <c r="V42" s="4"/>
      <c r="W42" s="34">
        <v>150000</v>
      </c>
      <c r="X42" s="4"/>
      <c r="Y42" s="34">
        <v>150000</v>
      </c>
      <c r="Z42" s="4"/>
      <c r="AA42" s="151">
        <f t="shared" si="21"/>
        <v>450000</v>
      </c>
      <c r="AB42" s="117">
        <f t="shared" si="22"/>
        <v>0</v>
      </c>
      <c r="AC42" s="60">
        <v>150000</v>
      </c>
      <c r="AD42" s="4">
        <v>600</v>
      </c>
      <c r="AE42" s="34">
        <v>150000</v>
      </c>
      <c r="AF42" s="4"/>
      <c r="AG42" s="34">
        <v>150000</v>
      </c>
      <c r="AH42" s="4"/>
      <c r="AI42" s="151">
        <f t="shared" si="24"/>
        <v>450000</v>
      </c>
      <c r="AJ42" s="117">
        <f t="shared" si="24"/>
        <v>600</v>
      </c>
      <c r="AK42" s="151">
        <f t="shared" si="23"/>
        <v>900000</v>
      </c>
      <c r="AL42" s="117">
        <f t="shared" si="23"/>
        <v>600</v>
      </c>
      <c r="AM42" s="129">
        <f t="shared" si="12"/>
        <v>1800000</v>
      </c>
      <c r="AN42" s="117">
        <f t="shared" si="13"/>
        <v>68400</v>
      </c>
    </row>
    <row r="43" spans="1:40" ht="20.25" customHeight="1" x14ac:dyDescent="0.15">
      <c r="A43" s="23"/>
      <c r="B43" s="5" t="s">
        <v>45</v>
      </c>
      <c r="C43" s="34">
        <v>800000</v>
      </c>
      <c r="D43" s="4">
        <v>107098</v>
      </c>
      <c r="E43" s="34">
        <v>800000</v>
      </c>
      <c r="F43" s="4">
        <v>184193</v>
      </c>
      <c r="G43" s="34">
        <v>800000</v>
      </c>
      <c r="H43" s="4">
        <v>258723</v>
      </c>
      <c r="I43" s="151">
        <f t="shared" si="19"/>
        <v>2400000</v>
      </c>
      <c r="J43" s="117">
        <f t="shared" si="20"/>
        <v>550014</v>
      </c>
      <c r="K43" s="60">
        <v>800000</v>
      </c>
      <c r="L43" s="4">
        <v>88266</v>
      </c>
      <c r="M43" s="34">
        <v>800000</v>
      </c>
      <c r="N43" s="4">
        <v>62028</v>
      </c>
      <c r="O43" s="34">
        <v>800000</v>
      </c>
      <c r="P43" s="4">
        <v>109016</v>
      </c>
      <c r="Q43" s="151"/>
      <c r="R43" s="117"/>
      <c r="S43" s="151"/>
      <c r="T43" s="117">
        <f t="shared" si="11"/>
        <v>550014</v>
      </c>
      <c r="U43" s="60">
        <v>800000</v>
      </c>
      <c r="V43" s="4">
        <v>1497723</v>
      </c>
      <c r="W43" s="34">
        <v>800000</v>
      </c>
      <c r="X43" s="4">
        <v>54461</v>
      </c>
      <c r="Y43" s="34">
        <v>800000</v>
      </c>
      <c r="Z43" s="4">
        <v>1676154</v>
      </c>
      <c r="AA43" s="151">
        <f t="shared" si="21"/>
        <v>2400000</v>
      </c>
      <c r="AB43" s="117">
        <f t="shared" si="22"/>
        <v>3228338</v>
      </c>
      <c r="AC43" s="60">
        <v>800000</v>
      </c>
      <c r="AD43" s="4">
        <v>43337</v>
      </c>
      <c r="AE43" s="34">
        <v>800000</v>
      </c>
      <c r="AF43" s="4">
        <v>60986</v>
      </c>
      <c r="AG43" s="34">
        <v>800000</v>
      </c>
      <c r="AH43" s="4">
        <v>71307</v>
      </c>
      <c r="AI43" s="151">
        <f t="shared" si="24"/>
        <v>2400000</v>
      </c>
      <c r="AJ43" s="117">
        <f t="shared" si="24"/>
        <v>175630</v>
      </c>
      <c r="AK43" s="151">
        <f t="shared" si="23"/>
        <v>4800000</v>
      </c>
      <c r="AL43" s="117">
        <f t="shared" si="23"/>
        <v>3403968</v>
      </c>
      <c r="AM43" s="129">
        <f t="shared" si="12"/>
        <v>9600000</v>
      </c>
      <c r="AN43" s="117">
        <f t="shared" si="13"/>
        <v>4213292</v>
      </c>
    </row>
    <row r="44" spans="1:40" ht="20.25" customHeight="1" x14ac:dyDescent="0.15">
      <c r="A44" s="23"/>
      <c r="B44" s="5" t="s">
        <v>46</v>
      </c>
      <c r="C44" s="34">
        <v>300000</v>
      </c>
      <c r="D44" s="4">
        <v>228044</v>
      </c>
      <c r="E44" s="34">
        <v>300000</v>
      </c>
      <c r="F44" s="4">
        <v>306567</v>
      </c>
      <c r="G44" s="34">
        <v>300000</v>
      </c>
      <c r="H44" s="4">
        <v>254784</v>
      </c>
      <c r="I44" s="151">
        <f t="shared" si="19"/>
        <v>900000</v>
      </c>
      <c r="J44" s="117">
        <f t="shared" si="20"/>
        <v>789395</v>
      </c>
      <c r="K44" s="60">
        <v>300000</v>
      </c>
      <c r="L44" s="4">
        <v>345048</v>
      </c>
      <c r="M44" s="34">
        <v>300000</v>
      </c>
      <c r="N44" s="4">
        <v>172616</v>
      </c>
      <c r="O44" s="34">
        <v>300000</v>
      </c>
      <c r="P44" s="4">
        <v>165437</v>
      </c>
      <c r="Q44" s="151"/>
      <c r="R44" s="117"/>
      <c r="S44" s="151"/>
      <c r="T44" s="117">
        <f t="shared" si="11"/>
        <v>789395</v>
      </c>
      <c r="U44" s="60">
        <v>300000</v>
      </c>
      <c r="V44" s="4">
        <v>171916</v>
      </c>
      <c r="W44" s="34">
        <v>300000</v>
      </c>
      <c r="X44" s="4">
        <v>196830</v>
      </c>
      <c r="Y44" s="34">
        <v>300000</v>
      </c>
      <c r="Z44" s="4">
        <v>290441</v>
      </c>
      <c r="AA44" s="151">
        <f t="shared" si="21"/>
        <v>900000</v>
      </c>
      <c r="AB44" s="117">
        <f t="shared" si="22"/>
        <v>659187</v>
      </c>
      <c r="AC44" s="60">
        <v>300000</v>
      </c>
      <c r="AD44" s="4">
        <v>242695</v>
      </c>
      <c r="AE44" s="34">
        <v>300000</v>
      </c>
      <c r="AF44" s="4">
        <v>235424</v>
      </c>
      <c r="AG44" s="34">
        <v>300000</v>
      </c>
      <c r="AH44" s="4">
        <v>166360</v>
      </c>
      <c r="AI44" s="151">
        <f t="shared" si="24"/>
        <v>900000</v>
      </c>
      <c r="AJ44" s="117">
        <f t="shared" si="24"/>
        <v>644479</v>
      </c>
      <c r="AK44" s="151">
        <f t="shared" si="23"/>
        <v>1800000</v>
      </c>
      <c r="AL44" s="117">
        <f t="shared" si="23"/>
        <v>1303666</v>
      </c>
      <c r="AM44" s="129">
        <f t="shared" si="12"/>
        <v>3600000</v>
      </c>
      <c r="AN44" s="117">
        <f t="shared" si="13"/>
        <v>2776162</v>
      </c>
    </row>
    <row r="45" spans="1:40" ht="20.25" customHeight="1" x14ac:dyDescent="0.15">
      <c r="A45" s="23"/>
      <c r="B45" s="5" t="s">
        <v>47</v>
      </c>
      <c r="C45" s="34">
        <v>70000</v>
      </c>
      <c r="D45" s="4">
        <v>58358</v>
      </c>
      <c r="E45" s="34">
        <v>70000</v>
      </c>
      <c r="F45" s="4">
        <v>67419</v>
      </c>
      <c r="G45" s="34">
        <v>70000</v>
      </c>
      <c r="H45" s="4">
        <v>76559</v>
      </c>
      <c r="I45" s="151">
        <f t="shared" si="19"/>
        <v>210000</v>
      </c>
      <c r="J45" s="117">
        <f t="shared" si="20"/>
        <v>202336</v>
      </c>
      <c r="K45" s="60">
        <v>70000</v>
      </c>
      <c r="L45" s="4">
        <v>64751</v>
      </c>
      <c r="M45" s="34">
        <v>70000</v>
      </c>
      <c r="N45" s="4">
        <v>53413</v>
      </c>
      <c r="O45" s="34">
        <v>70000</v>
      </c>
      <c r="P45" s="4">
        <v>49380</v>
      </c>
      <c r="Q45" s="151"/>
      <c r="R45" s="117"/>
      <c r="S45" s="151"/>
      <c r="T45" s="117">
        <f t="shared" si="11"/>
        <v>202336</v>
      </c>
      <c r="U45" s="60">
        <v>70000</v>
      </c>
      <c r="V45" s="4">
        <v>73539</v>
      </c>
      <c r="W45" s="34">
        <v>70000</v>
      </c>
      <c r="X45" s="4">
        <v>87580</v>
      </c>
      <c r="Y45" s="34">
        <v>70000</v>
      </c>
      <c r="Z45" s="4">
        <v>107783</v>
      </c>
      <c r="AA45" s="151">
        <f t="shared" si="21"/>
        <v>210000</v>
      </c>
      <c r="AB45" s="117">
        <f t="shared" si="22"/>
        <v>268902</v>
      </c>
      <c r="AC45" s="60">
        <v>70000</v>
      </c>
      <c r="AD45" s="4">
        <v>146107</v>
      </c>
      <c r="AE45" s="34">
        <v>70000</v>
      </c>
      <c r="AF45" s="4">
        <v>21703</v>
      </c>
      <c r="AG45" s="34">
        <v>70000</v>
      </c>
      <c r="AH45" s="4">
        <v>40267</v>
      </c>
      <c r="AI45" s="151">
        <f t="shared" si="24"/>
        <v>210000</v>
      </c>
      <c r="AJ45" s="117">
        <f t="shared" si="24"/>
        <v>208077</v>
      </c>
      <c r="AK45" s="151">
        <f t="shared" si="23"/>
        <v>420000</v>
      </c>
      <c r="AL45" s="117">
        <f t="shared" si="23"/>
        <v>476979</v>
      </c>
      <c r="AM45" s="129">
        <f t="shared" si="12"/>
        <v>840000</v>
      </c>
      <c r="AN45" s="117">
        <f t="shared" si="13"/>
        <v>846859</v>
      </c>
    </row>
    <row r="46" spans="1:40" ht="20.25" customHeight="1" x14ac:dyDescent="0.15">
      <c r="A46" s="23"/>
      <c r="B46" s="5" t="s">
        <v>48</v>
      </c>
      <c r="C46" s="34">
        <v>20000</v>
      </c>
      <c r="D46" s="4">
        <v>29585</v>
      </c>
      <c r="E46" s="34">
        <v>20000</v>
      </c>
      <c r="F46" s="4">
        <v>21373</v>
      </c>
      <c r="G46" s="34">
        <v>20000</v>
      </c>
      <c r="H46" s="4">
        <v>23900</v>
      </c>
      <c r="I46" s="151">
        <f t="shared" si="19"/>
        <v>60000</v>
      </c>
      <c r="J46" s="117">
        <f t="shared" si="20"/>
        <v>74858</v>
      </c>
      <c r="K46" s="60">
        <v>20000</v>
      </c>
      <c r="L46" s="4">
        <v>22780</v>
      </c>
      <c r="M46" s="34">
        <v>20000</v>
      </c>
      <c r="N46" s="4">
        <v>94173</v>
      </c>
      <c r="O46" s="34">
        <v>20000</v>
      </c>
      <c r="P46" s="4">
        <v>992000</v>
      </c>
      <c r="Q46" s="151"/>
      <c r="R46" s="117"/>
      <c r="S46" s="151"/>
      <c r="T46" s="117">
        <f t="shared" si="11"/>
        <v>74858</v>
      </c>
      <c r="U46" s="60">
        <v>20000</v>
      </c>
      <c r="V46" s="4">
        <v>23973</v>
      </c>
      <c r="W46" s="34">
        <v>20000</v>
      </c>
      <c r="X46" s="4">
        <v>20500</v>
      </c>
      <c r="Y46" s="34">
        <v>20000</v>
      </c>
      <c r="Z46" s="4">
        <v>28860</v>
      </c>
      <c r="AA46" s="151">
        <f t="shared" si="21"/>
        <v>60000</v>
      </c>
      <c r="AB46" s="117">
        <f t="shared" si="22"/>
        <v>73333</v>
      </c>
      <c r="AC46" s="60">
        <v>20000</v>
      </c>
      <c r="AD46" s="4">
        <v>2042900</v>
      </c>
      <c r="AE46" s="34">
        <v>20000</v>
      </c>
      <c r="AF46" s="4">
        <v>31628</v>
      </c>
      <c r="AG46" s="34">
        <v>20000</v>
      </c>
      <c r="AH46" s="4">
        <v>119800</v>
      </c>
      <c r="AI46" s="151">
        <f t="shared" si="24"/>
        <v>60000</v>
      </c>
      <c r="AJ46" s="117">
        <f t="shared" si="24"/>
        <v>2194328</v>
      </c>
      <c r="AK46" s="151">
        <f t="shared" si="23"/>
        <v>120000</v>
      </c>
      <c r="AL46" s="117">
        <f t="shared" si="23"/>
        <v>2267661</v>
      </c>
      <c r="AM46" s="129">
        <f t="shared" si="12"/>
        <v>240000</v>
      </c>
      <c r="AN46" s="117">
        <f t="shared" si="13"/>
        <v>3451472</v>
      </c>
    </row>
    <row r="47" spans="1:40" ht="20.25" customHeight="1" x14ac:dyDescent="0.15">
      <c r="A47" s="23"/>
      <c r="B47" s="5" t="s">
        <v>49</v>
      </c>
      <c r="C47" s="34"/>
      <c r="D47" s="4">
        <v>6364</v>
      </c>
      <c r="E47" s="34"/>
      <c r="F47" s="4"/>
      <c r="G47" s="34"/>
      <c r="H47" s="4">
        <v>10910</v>
      </c>
      <c r="I47" s="151">
        <f t="shared" si="19"/>
        <v>0</v>
      </c>
      <c r="J47" s="117">
        <f t="shared" si="20"/>
        <v>17274</v>
      </c>
      <c r="K47" s="60"/>
      <c r="L47" s="4">
        <v>54546</v>
      </c>
      <c r="M47" s="34"/>
      <c r="N47" s="4">
        <v>27273</v>
      </c>
      <c r="O47" s="34"/>
      <c r="P47" s="4"/>
      <c r="Q47" s="151"/>
      <c r="R47" s="117"/>
      <c r="S47" s="151"/>
      <c r="T47" s="117">
        <f t="shared" si="11"/>
        <v>17274</v>
      </c>
      <c r="U47" s="60"/>
      <c r="V47" s="4"/>
      <c r="W47" s="34"/>
      <c r="X47" s="4"/>
      <c r="Y47" s="34"/>
      <c r="Z47" s="4"/>
      <c r="AA47" s="151">
        <f t="shared" si="21"/>
        <v>0</v>
      </c>
      <c r="AB47" s="117">
        <f t="shared" si="22"/>
        <v>0</v>
      </c>
      <c r="AC47" s="60"/>
      <c r="AD47" s="4"/>
      <c r="AE47" s="34"/>
      <c r="AF47" s="4">
        <v>2882</v>
      </c>
      <c r="AG47" s="34"/>
      <c r="AH47" s="4">
        <v>14092</v>
      </c>
      <c r="AI47" s="151">
        <f t="shared" si="24"/>
        <v>0</v>
      </c>
      <c r="AJ47" s="117">
        <f t="shared" si="24"/>
        <v>16974</v>
      </c>
      <c r="AK47" s="151">
        <f t="shared" si="23"/>
        <v>0</v>
      </c>
      <c r="AL47" s="117">
        <f t="shared" si="23"/>
        <v>16974</v>
      </c>
      <c r="AM47" s="129">
        <f t="shared" si="12"/>
        <v>0</v>
      </c>
      <c r="AN47" s="117">
        <f t="shared" si="13"/>
        <v>116067</v>
      </c>
    </row>
    <row r="48" spans="1:40" ht="20.25" customHeight="1" x14ac:dyDescent="0.15">
      <c r="A48" s="23"/>
      <c r="B48" s="5" t="s">
        <v>50</v>
      </c>
      <c r="C48" s="34"/>
      <c r="D48" s="4">
        <v>16748</v>
      </c>
      <c r="E48" s="34"/>
      <c r="F48" s="4">
        <v>15420</v>
      </c>
      <c r="G48" s="34"/>
      <c r="H48" s="4">
        <v>19080</v>
      </c>
      <c r="I48" s="151">
        <f t="shared" si="19"/>
        <v>0</v>
      </c>
      <c r="J48" s="117">
        <f t="shared" si="20"/>
        <v>51248</v>
      </c>
      <c r="K48" s="60"/>
      <c r="L48" s="4">
        <v>22040</v>
      </c>
      <c r="M48" s="34"/>
      <c r="N48" s="4">
        <v>18400</v>
      </c>
      <c r="O48" s="34"/>
      <c r="P48" s="4">
        <v>18080</v>
      </c>
      <c r="Q48" s="151"/>
      <c r="R48" s="117"/>
      <c r="S48" s="151"/>
      <c r="T48" s="117">
        <f t="shared" si="11"/>
        <v>51248</v>
      </c>
      <c r="U48" s="60"/>
      <c r="V48" s="4">
        <v>20626</v>
      </c>
      <c r="W48" s="34"/>
      <c r="X48" s="4">
        <v>20571</v>
      </c>
      <c r="Y48" s="34"/>
      <c r="Z48" s="4">
        <v>428415</v>
      </c>
      <c r="AA48" s="151">
        <f t="shared" si="21"/>
        <v>0</v>
      </c>
      <c r="AB48" s="117">
        <f t="shared" si="22"/>
        <v>469612</v>
      </c>
      <c r="AC48" s="60"/>
      <c r="AD48" s="4">
        <v>41350</v>
      </c>
      <c r="AE48" s="34"/>
      <c r="AF48" s="4">
        <v>17220</v>
      </c>
      <c r="AG48" s="34"/>
      <c r="AH48" s="4">
        <v>16800</v>
      </c>
      <c r="AI48" s="151">
        <f t="shared" si="24"/>
        <v>0</v>
      </c>
      <c r="AJ48" s="117">
        <f t="shared" si="24"/>
        <v>75370</v>
      </c>
      <c r="AK48" s="151">
        <f t="shared" si="23"/>
        <v>0</v>
      </c>
      <c r="AL48" s="117">
        <f t="shared" si="23"/>
        <v>544982</v>
      </c>
      <c r="AM48" s="129">
        <f t="shared" si="12"/>
        <v>0</v>
      </c>
      <c r="AN48" s="117">
        <f t="shared" si="13"/>
        <v>654750</v>
      </c>
    </row>
    <row r="49" spans="1:40" ht="20.25" customHeight="1" x14ac:dyDescent="0.15">
      <c r="A49" s="23"/>
      <c r="B49" s="5" t="s">
        <v>51</v>
      </c>
      <c r="C49" s="34">
        <v>3000000</v>
      </c>
      <c r="D49" s="4">
        <v>2410999</v>
      </c>
      <c r="E49" s="34">
        <v>3000000</v>
      </c>
      <c r="F49" s="4">
        <v>2151582</v>
      </c>
      <c r="G49" s="34">
        <v>3000000</v>
      </c>
      <c r="H49" s="4">
        <v>2464458</v>
      </c>
      <c r="I49" s="151">
        <f t="shared" si="19"/>
        <v>9000000</v>
      </c>
      <c r="J49" s="117">
        <f t="shared" si="20"/>
        <v>7027039</v>
      </c>
      <c r="K49" s="60">
        <v>3000000</v>
      </c>
      <c r="L49" s="4">
        <v>2160150</v>
      </c>
      <c r="M49" s="34">
        <v>3000000</v>
      </c>
      <c r="N49" s="4">
        <v>2014310</v>
      </c>
      <c r="O49" s="34">
        <v>3000000</v>
      </c>
      <c r="P49" s="4">
        <v>1758110</v>
      </c>
      <c r="Q49" s="151"/>
      <c r="R49" s="117"/>
      <c r="S49" s="151"/>
      <c r="T49" s="117">
        <f t="shared" si="11"/>
        <v>7027039</v>
      </c>
      <c r="U49" s="60">
        <v>3000000</v>
      </c>
      <c r="V49" s="4">
        <v>1462860</v>
      </c>
      <c r="W49" s="34">
        <v>3000000</v>
      </c>
      <c r="X49" s="4">
        <v>1682850</v>
      </c>
      <c r="Y49" s="34">
        <v>3000000</v>
      </c>
      <c r="Z49" s="4">
        <v>2412330</v>
      </c>
      <c r="AA49" s="151">
        <f t="shared" si="21"/>
        <v>9000000</v>
      </c>
      <c r="AB49" s="117">
        <f t="shared" si="22"/>
        <v>5558040</v>
      </c>
      <c r="AC49" s="60">
        <v>3000000</v>
      </c>
      <c r="AD49" s="4">
        <v>1991220</v>
      </c>
      <c r="AE49" s="34">
        <v>3000000</v>
      </c>
      <c r="AF49" s="4">
        <v>1139760</v>
      </c>
      <c r="AG49" s="34">
        <v>3000000</v>
      </c>
      <c r="AH49" s="4">
        <v>1976400</v>
      </c>
      <c r="AI49" s="151">
        <f t="shared" si="24"/>
        <v>9000000</v>
      </c>
      <c r="AJ49" s="117">
        <f t="shared" si="24"/>
        <v>5107380</v>
      </c>
      <c r="AK49" s="151">
        <f t="shared" si="23"/>
        <v>18000000</v>
      </c>
      <c r="AL49" s="117">
        <f t="shared" si="23"/>
        <v>10665420</v>
      </c>
      <c r="AM49" s="129">
        <f t="shared" si="12"/>
        <v>36000000</v>
      </c>
      <c r="AN49" s="117">
        <f t="shared" si="13"/>
        <v>23625029</v>
      </c>
    </row>
    <row r="50" spans="1:40" ht="20.25" customHeight="1" x14ac:dyDescent="0.15">
      <c r="A50" s="23"/>
      <c r="B50" s="5" t="s">
        <v>206</v>
      </c>
      <c r="C50" s="34">
        <v>200000</v>
      </c>
      <c r="D50" s="4">
        <v>6630</v>
      </c>
      <c r="E50" s="34">
        <v>200000</v>
      </c>
      <c r="F50" s="4">
        <v>54990</v>
      </c>
      <c r="G50" s="34">
        <v>200000</v>
      </c>
      <c r="H50" s="4">
        <v>54569</v>
      </c>
      <c r="I50" s="151">
        <f t="shared" si="19"/>
        <v>600000</v>
      </c>
      <c r="J50" s="117">
        <f t="shared" si="20"/>
        <v>116189</v>
      </c>
      <c r="K50" s="60">
        <v>200000</v>
      </c>
      <c r="L50" s="4">
        <v>8982</v>
      </c>
      <c r="M50" s="34">
        <v>200000</v>
      </c>
      <c r="N50" s="4">
        <v>144164</v>
      </c>
      <c r="O50" s="34">
        <v>200000</v>
      </c>
      <c r="P50" s="4">
        <v>8154</v>
      </c>
      <c r="Q50" s="151"/>
      <c r="R50" s="117"/>
      <c r="S50" s="151"/>
      <c r="T50" s="117">
        <f t="shared" si="11"/>
        <v>116189</v>
      </c>
      <c r="U50" s="60">
        <v>200000</v>
      </c>
      <c r="V50" s="4">
        <v>85985</v>
      </c>
      <c r="W50" s="34">
        <v>200000</v>
      </c>
      <c r="X50" s="4">
        <v>108689</v>
      </c>
      <c r="Y50" s="34">
        <v>200000</v>
      </c>
      <c r="Z50" s="4">
        <v>16932</v>
      </c>
      <c r="AA50" s="151">
        <f t="shared" si="21"/>
        <v>600000</v>
      </c>
      <c r="AB50" s="117">
        <f t="shared" si="22"/>
        <v>211606</v>
      </c>
      <c r="AC50" s="60">
        <v>200000</v>
      </c>
      <c r="AD50" s="4">
        <v>132977</v>
      </c>
      <c r="AE50" s="34">
        <v>200000</v>
      </c>
      <c r="AF50" s="4">
        <v>126275</v>
      </c>
      <c r="AG50" s="34">
        <v>200000</v>
      </c>
      <c r="AH50" s="4"/>
      <c r="AI50" s="151">
        <f t="shared" si="24"/>
        <v>600000</v>
      </c>
      <c r="AJ50" s="117">
        <f t="shared" si="24"/>
        <v>259252</v>
      </c>
      <c r="AK50" s="151">
        <f t="shared" si="23"/>
        <v>1200000</v>
      </c>
      <c r="AL50" s="117">
        <f t="shared" si="23"/>
        <v>470858</v>
      </c>
      <c r="AM50" s="129">
        <f t="shared" si="12"/>
        <v>2400000</v>
      </c>
      <c r="AN50" s="117">
        <f t="shared" si="13"/>
        <v>748347</v>
      </c>
    </row>
    <row r="51" spans="1:40" ht="20.25" customHeight="1" x14ac:dyDescent="0.15">
      <c r="A51" s="23"/>
      <c r="B51" s="5" t="s">
        <v>191</v>
      </c>
      <c r="C51" s="34">
        <v>30000</v>
      </c>
      <c r="D51" s="4">
        <v>684546</v>
      </c>
      <c r="E51" s="34">
        <v>30000</v>
      </c>
      <c r="F51" s="4">
        <v>684546</v>
      </c>
      <c r="G51" s="34">
        <v>30000</v>
      </c>
      <c r="H51" s="4">
        <v>684546</v>
      </c>
      <c r="I51" s="151">
        <f t="shared" si="19"/>
        <v>90000</v>
      </c>
      <c r="J51" s="117">
        <f t="shared" si="20"/>
        <v>2053638</v>
      </c>
      <c r="K51" s="60">
        <v>30000</v>
      </c>
      <c r="L51" s="4">
        <v>684546</v>
      </c>
      <c r="M51" s="34">
        <v>30000</v>
      </c>
      <c r="N51" s="4">
        <v>724546</v>
      </c>
      <c r="O51" s="34">
        <v>30000</v>
      </c>
      <c r="P51" s="4">
        <v>684546</v>
      </c>
      <c r="Q51" s="151"/>
      <c r="R51" s="117"/>
      <c r="S51" s="151"/>
      <c r="T51" s="117">
        <f t="shared" si="11"/>
        <v>2053638</v>
      </c>
      <c r="U51" s="60">
        <v>30000</v>
      </c>
      <c r="V51" s="4">
        <v>684546</v>
      </c>
      <c r="W51" s="34">
        <v>30000</v>
      </c>
      <c r="X51" s="4">
        <v>684546</v>
      </c>
      <c r="Y51" s="34">
        <v>30000</v>
      </c>
      <c r="Z51" s="4">
        <v>684546</v>
      </c>
      <c r="AA51" s="151">
        <f t="shared" si="21"/>
        <v>90000</v>
      </c>
      <c r="AB51" s="117">
        <f t="shared" si="22"/>
        <v>2053638</v>
      </c>
      <c r="AC51" s="60">
        <v>30000</v>
      </c>
      <c r="AD51" s="4">
        <v>4684546</v>
      </c>
      <c r="AE51" s="34">
        <v>30000</v>
      </c>
      <c r="AF51" s="4">
        <v>684546</v>
      </c>
      <c r="AG51" s="34">
        <v>30000</v>
      </c>
      <c r="AH51" s="4">
        <v>684546</v>
      </c>
      <c r="AI51" s="151">
        <f t="shared" si="24"/>
        <v>90000</v>
      </c>
      <c r="AJ51" s="117">
        <f t="shared" si="24"/>
        <v>6053638</v>
      </c>
      <c r="AK51" s="151">
        <f t="shared" si="23"/>
        <v>180000</v>
      </c>
      <c r="AL51" s="117">
        <f t="shared" si="23"/>
        <v>8107276</v>
      </c>
      <c r="AM51" s="129">
        <f t="shared" si="12"/>
        <v>360000</v>
      </c>
      <c r="AN51" s="117">
        <f t="shared" si="13"/>
        <v>12254552</v>
      </c>
    </row>
    <row r="52" spans="1:40" ht="20.25" customHeight="1" x14ac:dyDescent="0.15">
      <c r="A52" s="23"/>
      <c r="B52" s="5" t="s">
        <v>54</v>
      </c>
      <c r="C52" s="34"/>
      <c r="D52" s="4"/>
      <c r="E52" s="34"/>
      <c r="F52" s="4"/>
      <c r="G52" s="34"/>
      <c r="H52" s="4">
        <v>7000</v>
      </c>
      <c r="I52" s="151">
        <f t="shared" si="19"/>
        <v>0</v>
      </c>
      <c r="J52" s="117">
        <f t="shared" si="20"/>
        <v>7000</v>
      </c>
      <c r="K52" s="60"/>
      <c r="L52" s="4"/>
      <c r="M52" s="34"/>
      <c r="N52" s="4"/>
      <c r="O52" s="34"/>
      <c r="P52" s="4">
        <v>12000</v>
      </c>
      <c r="Q52" s="151"/>
      <c r="R52" s="117"/>
      <c r="S52" s="151"/>
      <c r="T52" s="117">
        <f t="shared" si="11"/>
        <v>7000</v>
      </c>
      <c r="U52" s="60"/>
      <c r="V52" s="4">
        <v>27600</v>
      </c>
      <c r="W52" s="34"/>
      <c r="X52" s="4"/>
      <c r="Y52" s="34"/>
      <c r="Z52" s="4"/>
      <c r="AA52" s="151">
        <f t="shared" si="21"/>
        <v>0</v>
      </c>
      <c r="AB52" s="117">
        <f t="shared" si="22"/>
        <v>27600</v>
      </c>
      <c r="AC52" s="60"/>
      <c r="AD52" s="4"/>
      <c r="AE52" s="34"/>
      <c r="AF52" s="4">
        <v>10000</v>
      </c>
      <c r="AG52" s="34"/>
      <c r="AH52" s="4"/>
      <c r="AI52" s="151">
        <f t="shared" si="24"/>
        <v>0</v>
      </c>
      <c r="AJ52" s="117">
        <f t="shared" si="24"/>
        <v>10000</v>
      </c>
      <c r="AK52" s="151">
        <f t="shared" si="23"/>
        <v>0</v>
      </c>
      <c r="AL52" s="117">
        <f t="shared" si="23"/>
        <v>37600</v>
      </c>
      <c r="AM52" s="129">
        <f t="shared" si="12"/>
        <v>0</v>
      </c>
      <c r="AN52" s="117">
        <f t="shared" si="13"/>
        <v>56600</v>
      </c>
    </row>
    <row r="53" spans="1:40" ht="20.25" customHeight="1" x14ac:dyDescent="0.15">
      <c r="A53" s="23"/>
      <c r="B53" s="5" t="s">
        <v>190</v>
      </c>
      <c r="C53" s="34">
        <v>150000</v>
      </c>
      <c r="D53" s="4"/>
      <c r="E53" s="34">
        <v>150000</v>
      </c>
      <c r="F53" s="4"/>
      <c r="G53" s="34">
        <v>150000</v>
      </c>
      <c r="H53" s="4"/>
      <c r="I53" s="151">
        <f t="shared" si="19"/>
        <v>450000</v>
      </c>
      <c r="J53" s="117">
        <f t="shared" si="20"/>
        <v>0</v>
      </c>
      <c r="K53" s="60">
        <v>150000</v>
      </c>
      <c r="L53" s="4"/>
      <c r="M53" s="34">
        <v>150000</v>
      </c>
      <c r="N53" s="4"/>
      <c r="O53" s="34">
        <v>150000</v>
      </c>
      <c r="P53" s="4"/>
      <c r="Q53" s="151"/>
      <c r="R53" s="117"/>
      <c r="S53" s="151"/>
      <c r="T53" s="117">
        <f t="shared" si="11"/>
        <v>0</v>
      </c>
      <c r="U53" s="60">
        <v>150000</v>
      </c>
      <c r="V53" s="4"/>
      <c r="W53" s="34">
        <v>150000</v>
      </c>
      <c r="X53" s="4"/>
      <c r="Y53" s="34">
        <v>150000</v>
      </c>
      <c r="Z53" s="4"/>
      <c r="AA53" s="151">
        <f t="shared" si="21"/>
        <v>450000</v>
      </c>
      <c r="AB53" s="117">
        <f t="shared" si="22"/>
        <v>0</v>
      </c>
      <c r="AC53" s="60">
        <v>150000</v>
      </c>
      <c r="AD53" s="4"/>
      <c r="AE53" s="34">
        <v>150000</v>
      </c>
      <c r="AF53" s="4"/>
      <c r="AG53" s="34">
        <v>150000</v>
      </c>
      <c r="AH53" s="4"/>
      <c r="AI53" s="151">
        <f t="shared" si="24"/>
        <v>450000</v>
      </c>
      <c r="AJ53" s="117">
        <f t="shared" si="24"/>
        <v>0</v>
      </c>
      <c r="AK53" s="151">
        <f t="shared" si="23"/>
        <v>900000</v>
      </c>
      <c r="AL53" s="117">
        <f t="shared" si="23"/>
        <v>0</v>
      </c>
      <c r="AM53" s="129">
        <f t="shared" si="12"/>
        <v>1800000</v>
      </c>
      <c r="AN53" s="117">
        <f t="shared" si="13"/>
        <v>0</v>
      </c>
    </row>
    <row r="54" spans="1:40" ht="20.25" customHeight="1" x14ac:dyDescent="0.15">
      <c r="A54" s="26"/>
      <c r="B54" s="27" t="s">
        <v>55</v>
      </c>
      <c r="C54" s="35">
        <v>330000</v>
      </c>
      <c r="D54" s="28">
        <v>87178</v>
      </c>
      <c r="E54" s="35">
        <v>330000</v>
      </c>
      <c r="F54" s="28">
        <v>53581</v>
      </c>
      <c r="G54" s="35">
        <v>330000</v>
      </c>
      <c r="H54" s="28">
        <v>77260</v>
      </c>
      <c r="I54" s="152">
        <f t="shared" si="19"/>
        <v>990000</v>
      </c>
      <c r="J54" s="118">
        <f t="shared" si="20"/>
        <v>218019</v>
      </c>
      <c r="K54" s="209">
        <v>330000</v>
      </c>
      <c r="L54" s="28">
        <v>109882</v>
      </c>
      <c r="M54" s="35">
        <v>330000</v>
      </c>
      <c r="N54" s="28">
        <v>83794</v>
      </c>
      <c r="O54" s="35">
        <v>330000</v>
      </c>
      <c r="P54" s="28">
        <v>88740</v>
      </c>
      <c r="Q54" s="152"/>
      <c r="R54" s="118"/>
      <c r="S54" s="152"/>
      <c r="T54" s="118">
        <f t="shared" si="11"/>
        <v>218019</v>
      </c>
      <c r="U54" s="61">
        <v>330000</v>
      </c>
      <c r="V54" s="28">
        <v>84969</v>
      </c>
      <c r="W54" s="35">
        <v>330000</v>
      </c>
      <c r="X54" s="28">
        <v>84823</v>
      </c>
      <c r="Y54" s="35">
        <v>330000</v>
      </c>
      <c r="Z54" s="28">
        <v>85109</v>
      </c>
      <c r="AA54" s="152">
        <f t="shared" si="21"/>
        <v>990000</v>
      </c>
      <c r="AB54" s="118">
        <f t="shared" si="22"/>
        <v>254901</v>
      </c>
      <c r="AC54" s="61">
        <v>330000</v>
      </c>
      <c r="AD54" s="28">
        <v>200653</v>
      </c>
      <c r="AE54" s="35">
        <v>330000</v>
      </c>
      <c r="AF54" s="28">
        <v>119687</v>
      </c>
      <c r="AG54" s="35">
        <v>330000</v>
      </c>
      <c r="AH54" s="28">
        <v>105206</v>
      </c>
      <c r="AI54" s="152">
        <f t="shared" si="24"/>
        <v>990000</v>
      </c>
      <c r="AJ54" s="118">
        <f t="shared" si="24"/>
        <v>425546</v>
      </c>
      <c r="AK54" s="152">
        <f t="shared" si="23"/>
        <v>1980000</v>
      </c>
      <c r="AL54" s="118">
        <f t="shared" si="23"/>
        <v>680447</v>
      </c>
      <c r="AM54" s="130">
        <f t="shared" si="12"/>
        <v>3960000</v>
      </c>
      <c r="AN54" s="118">
        <f t="shared" si="13"/>
        <v>1180882</v>
      </c>
    </row>
    <row r="55" spans="1:40" ht="20.25" customHeight="1" x14ac:dyDescent="0.15">
      <c r="A55" s="21" t="s">
        <v>81</v>
      </c>
      <c r="B55" s="22" t="s">
        <v>188</v>
      </c>
      <c r="C55" s="34"/>
      <c r="D55" s="4"/>
      <c r="E55" s="34"/>
      <c r="F55" s="4"/>
      <c r="G55" s="34"/>
      <c r="H55" s="4"/>
      <c r="I55" s="151">
        <f t="shared" si="19"/>
        <v>0</v>
      </c>
      <c r="J55" s="117">
        <f t="shared" si="20"/>
        <v>0</v>
      </c>
      <c r="K55" s="60"/>
      <c r="L55" s="4"/>
      <c r="M55" s="34"/>
      <c r="N55" s="4"/>
      <c r="O55" s="34"/>
      <c r="P55" s="4"/>
      <c r="Q55" s="151">
        <f t="shared" ref="Q55:Q57" si="25">K55+M55+O55</f>
        <v>0</v>
      </c>
      <c r="R55" s="117">
        <f t="shared" ref="R55:R57" si="26">L55+N55+P55</f>
        <v>0</v>
      </c>
      <c r="S55" s="151">
        <f t="shared" ref="S55:S57" si="27">I55+Q55</f>
        <v>0</v>
      </c>
      <c r="T55" s="117">
        <f t="shared" si="11"/>
        <v>0</v>
      </c>
      <c r="U55" s="60"/>
      <c r="V55" s="4">
        <v>100000</v>
      </c>
      <c r="W55" s="34"/>
      <c r="X55" s="4"/>
      <c r="Y55" s="34"/>
      <c r="Z55" s="4"/>
      <c r="AA55" s="151">
        <f t="shared" si="21"/>
        <v>0</v>
      </c>
      <c r="AB55" s="117">
        <f t="shared" si="22"/>
        <v>100000</v>
      </c>
      <c r="AC55" s="60"/>
      <c r="AD55" s="4"/>
      <c r="AE55" s="34"/>
      <c r="AF55" s="4"/>
      <c r="AG55" s="34"/>
      <c r="AH55" s="4"/>
      <c r="AI55" s="151">
        <f t="shared" si="24"/>
        <v>0</v>
      </c>
      <c r="AJ55" s="117">
        <f t="shared" si="24"/>
        <v>0</v>
      </c>
      <c r="AK55" s="151">
        <f t="shared" si="23"/>
        <v>0</v>
      </c>
      <c r="AL55" s="117">
        <f t="shared" si="23"/>
        <v>100000</v>
      </c>
      <c r="AM55" s="129">
        <f t="shared" si="12"/>
        <v>0</v>
      </c>
      <c r="AN55" s="117">
        <f t="shared" si="13"/>
        <v>100000</v>
      </c>
    </row>
    <row r="56" spans="1:40" ht="20.25" customHeight="1" x14ac:dyDescent="0.15">
      <c r="A56" s="21"/>
      <c r="B56" s="5" t="s">
        <v>207</v>
      </c>
      <c r="C56" s="34"/>
      <c r="D56" s="4"/>
      <c r="E56" s="34"/>
      <c r="F56" s="4"/>
      <c r="G56" s="34"/>
      <c r="H56" s="4"/>
      <c r="I56" s="151"/>
      <c r="J56" s="117"/>
      <c r="K56" s="60"/>
      <c r="L56" s="4"/>
      <c r="M56" s="34"/>
      <c r="N56" s="4"/>
      <c r="O56" s="34"/>
      <c r="P56" s="4"/>
      <c r="Q56" s="151">
        <f t="shared" si="25"/>
        <v>0</v>
      </c>
      <c r="R56" s="117">
        <f t="shared" si="26"/>
        <v>0</v>
      </c>
      <c r="S56" s="151">
        <f t="shared" si="27"/>
        <v>0</v>
      </c>
      <c r="T56" s="117">
        <f t="shared" si="11"/>
        <v>0</v>
      </c>
      <c r="U56" s="60"/>
      <c r="V56" s="4"/>
      <c r="W56" s="34"/>
      <c r="X56" s="4"/>
      <c r="Y56" s="34"/>
      <c r="Z56" s="4"/>
      <c r="AA56" s="151">
        <f t="shared" si="21"/>
        <v>0</v>
      </c>
      <c r="AB56" s="117">
        <f t="shared" si="22"/>
        <v>0</v>
      </c>
      <c r="AC56" s="60"/>
      <c r="AD56" s="4"/>
      <c r="AE56" s="34"/>
      <c r="AF56" s="4"/>
      <c r="AG56" s="34"/>
      <c r="AH56" s="4"/>
      <c r="AI56" s="151"/>
      <c r="AJ56" s="117"/>
      <c r="AK56" s="151"/>
      <c r="AL56" s="117"/>
      <c r="AM56" s="129">
        <f t="shared" si="12"/>
        <v>0</v>
      </c>
      <c r="AN56" s="117">
        <f t="shared" si="13"/>
        <v>0</v>
      </c>
    </row>
    <row r="57" spans="1:40" ht="20.25" customHeight="1" thickBot="1" x14ac:dyDescent="0.2">
      <c r="A57" s="21" t="s">
        <v>82</v>
      </c>
      <c r="B57" s="6" t="s">
        <v>74</v>
      </c>
      <c r="C57" s="34"/>
      <c r="D57" s="4"/>
      <c r="E57" s="34"/>
      <c r="F57" s="4"/>
      <c r="G57" s="34"/>
      <c r="H57" s="4"/>
      <c r="I57" s="151">
        <f t="shared" si="19"/>
        <v>0</v>
      </c>
      <c r="J57" s="117">
        <f t="shared" si="20"/>
        <v>0</v>
      </c>
      <c r="K57" s="60"/>
      <c r="L57" s="4">
        <v>82500</v>
      </c>
      <c r="M57" s="34"/>
      <c r="N57" s="4"/>
      <c r="O57" s="34"/>
      <c r="P57" s="4">
        <v>80000</v>
      </c>
      <c r="Q57" s="151">
        <f t="shared" si="25"/>
        <v>0</v>
      </c>
      <c r="R57" s="117">
        <f t="shared" si="26"/>
        <v>162500</v>
      </c>
      <c r="S57" s="151">
        <f t="shared" si="27"/>
        <v>0</v>
      </c>
      <c r="T57" s="117">
        <f t="shared" si="11"/>
        <v>162500</v>
      </c>
      <c r="U57" s="60"/>
      <c r="V57" s="4"/>
      <c r="W57" s="34"/>
      <c r="X57" s="4"/>
      <c r="Y57" s="34"/>
      <c r="Z57" s="4"/>
      <c r="AA57" s="151">
        <f t="shared" si="21"/>
        <v>0</v>
      </c>
      <c r="AB57" s="117">
        <f t="shared" si="22"/>
        <v>0</v>
      </c>
      <c r="AC57" s="60"/>
      <c r="AD57" s="4">
        <v>80000</v>
      </c>
      <c r="AE57" s="34"/>
      <c r="AF57" s="4"/>
      <c r="AG57" s="34"/>
      <c r="AH57" s="4"/>
      <c r="AI57" s="151">
        <f t="shared" si="24"/>
        <v>0</v>
      </c>
      <c r="AJ57" s="117">
        <f t="shared" si="24"/>
        <v>80000</v>
      </c>
      <c r="AK57" s="151">
        <f t="shared" si="23"/>
        <v>0</v>
      </c>
      <c r="AL57" s="117">
        <f t="shared" si="23"/>
        <v>80000</v>
      </c>
      <c r="AM57" s="129">
        <f t="shared" si="12"/>
        <v>0</v>
      </c>
      <c r="AN57" s="117">
        <f t="shared" si="13"/>
        <v>242500</v>
      </c>
    </row>
    <row r="58" spans="1:40" ht="20.25" customHeight="1" thickTop="1" thickBot="1" x14ac:dyDescent="0.2">
      <c r="A58" s="24"/>
      <c r="B58" s="7" t="s">
        <v>27</v>
      </c>
      <c r="C58" s="40">
        <f>SUM(C33:C57)</f>
        <v>8387000</v>
      </c>
      <c r="D58" s="14">
        <f t="shared" ref="D58:AL58" si="28">SUM(D33:D57)</f>
        <v>5742716</v>
      </c>
      <c r="E58" s="40">
        <f t="shared" si="28"/>
        <v>8387000</v>
      </c>
      <c r="F58" s="14">
        <f t="shared" si="28"/>
        <v>5682708</v>
      </c>
      <c r="G58" s="40">
        <f t="shared" si="28"/>
        <v>8387000</v>
      </c>
      <c r="H58" s="14">
        <f t="shared" si="28"/>
        <v>6073782</v>
      </c>
      <c r="I58" s="40">
        <f>SUM(I33:I57)</f>
        <v>25161000</v>
      </c>
      <c r="J58" s="14">
        <f t="shared" si="20"/>
        <v>17499206</v>
      </c>
      <c r="K58" s="66">
        <f t="shared" si="28"/>
        <v>8387000</v>
      </c>
      <c r="L58" s="14">
        <f t="shared" si="28"/>
        <v>4614468</v>
      </c>
      <c r="M58" s="40">
        <f t="shared" si="28"/>
        <v>8387000</v>
      </c>
      <c r="N58" s="14">
        <f t="shared" si="28"/>
        <v>4675620</v>
      </c>
      <c r="O58" s="40">
        <f t="shared" si="28"/>
        <v>8387000</v>
      </c>
      <c r="P58" s="14">
        <f t="shared" si="28"/>
        <v>4770661</v>
      </c>
      <c r="Q58" s="40">
        <f t="shared" si="28"/>
        <v>0</v>
      </c>
      <c r="R58" s="14">
        <f t="shared" si="28"/>
        <v>162500</v>
      </c>
      <c r="S58" s="40">
        <f t="shared" si="28"/>
        <v>0</v>
      </c>
      <c r="T58" s="14">
        <f t="shared" si="28"/>
        <v>17661706</v>
      </c>
      <c r="U58" s="66">
        <f t="shared" si="28"/>
        <v>8387000</v>
      </c>
      <c r="V58" s="14">
        <f t="shared" si="28"/>
        <v>6227978</v>
      </c>
      <c r="W58" s="40">
        <f t="shared" si="28"/>
        <v>8387000</v>
      </c>
      <c r="X58" s="14">
        <f t="shared" si="28"/>
        <v>5211909</v>
      </c>
      <c r="Y58" s="40">
        <f t="shared" si="28"/>
        <v>8387000</v>
      </c>
      <c r="Z58" s="14">
        <f t="shared" si="28"/>
        <v>9792827</v>
      </c>
      <c r="AA58" s="40">
        <f t="shared" si="28"/>
        <v>25161000</v>
      </c>
      <c r="AB58" s="14">
        <f t="shared" si="28"/>
        <v>21232714</v>
      </c>
      <c r="AC58" s="66">
        <f t="shared" si="28"/>
        <v>8387000</v>
      </c>
      <c r="AD58" s="14">
        <f t="shared" si="28"/>
        <v>12164508</v>
      </c>
      <c r="AE58" s="40">
        <f t="shared" si="28"/>
        <v>8387000</v>
      </c>
      <c r="AF58" s="14">
        <f t="shared" si="28"/>
        <v>4662947</v>
      </c>
      <c r="AG58" s="40">
        <f t="shared" si="28"/>
        <v>8387000</v>
      </c>
      <c r="AH58" s="14">
        <f t="shared" si="28"/>
        <v>5201127</v>
      </c>
      <c r="AI58" s="40">
        <f t="shared" si="28"/>
        <v>25161000</v>
      </c>
      <c r="AJ58" s="14">
        <f t="shared" si="28"/>
        <v>22028582</v>
      </c>
      <c r="AK58" s="40">
        <f t="shared" si="28"/>
        <v>50322000</v>
      </c>
      <c r="AL58" s="14">
        <f t="shared" si="28"/>
        <v>43261296</v>
      </c>
      <c r="AM58" s="66">
        <f t="shared" si="12"/>
        <v>100644000</v>
      </c>
      <c r="AN58" s="14">
        <f t="shared" si="13"/>
        <v>74821251</v>
      </c>
    </row>
    <row r="59" spans="1:40" ht="20.25" customHeight="1" thickBot="1" x14ac:dyDescent="0.2">
      <c r="A59" s="212" t="s">
        <v>57</v>
      </c>
      <c r="B59" s="213"/>
      <c r="C59" s="41">
        <f>C32+C58</f>
        <v>20084000</v>
      </c>
      <c r="D59" s="15">
        <f t="shared" ref="D59:AL59" si="29">D32+D58</f>
        <v>14298987.798</v>
      </c>
      <c r="E59" s="41">
        <f t="shared" si="29"/>
        <v>20084000</v>
      </c>
      <c r="F59" s="15">
        <f t="shared" si="29"/>
        <v>14236778.08</v>
      </c>
      <c r="G59" s="41">
        <f t="shared" si="29"/>
        <v>20084000</v>
      </c>
      <c r="H59" s="15">
        <f t="shared" si="29"/>
        <v>14776005.112</v>
      </c>
      <c r="I59" s="41">
        <f t="shared" si="29"/>
        <v>60252000</v>
      </c>
      <c r="J59" s="15">
        <f t="shared" si="29"/>
        <v>43311770.989999995</v>
      </c>
      <c r="K59" s="67">
        <f t="shared" si="29"/>
        <v>20084000</v>
      </c>
      <c r="L59" s="15">
        <f t="shared" si="29"/>
        <v>13271753.27</v>
      </c>
      <c r="M59" s="41">
        <f t="shared" si="29"/>
        <v>20084000</v>
      </c>
      <c r="N59" s="15">
        <f t="shared" si="29"/>
        <v>13115537.655000001</v>
      </c>
      <c r="O59" s="41">
        <f t="shared" si="29"/>
        <v>20084000</v>
      </c>
      <c r="P59" s="15">
        <f t="shared" si="29"/>
        <v>12860391.1</v>
      </c>
      <c r="Q59" s="41">
        <f t="shared" si="29"/>
        <v>0</v>
      </c>
      <c r="R59" s="15">
        <f t="shared" si="29"/>
        <v>162500</v>
      </c>
      <c r="S59" s="41">
        <f t="shared" si="29"/>
        <v>0</v>
      </c>
      <c r="T59" s="15">
        <f t="shared" si="29"/>
        <v>43474270.989999995</v>
      </c>
      <c r="U59" s="67">
        <f t="shared" si="29"/>
        <v>20084000</v>
      </c>
      <c r="V59" s="15">
        <f t="shared" si="29"/>
        <v>14232273.82</v>
      </c>
      <c r="W59" s="41">
        <f t="shared" si="29"/>
        <v>20084000</v>
      </c>
      <c r="X59" s="15">
        <f t="shared" si="29"/>
        <v>13313161.462000001</v>
      </c>
      <c r="Y59" s="41">
        <f t="shared" si="29"/>
        <v>20084000</v>
      </c>
      <c r="Z59" s="15">
        <f t="shared" si="29"/>
        <v>17810690.513999999</v>
      </c>
      <c r="AA59" s="41">
        <f t="shared" si="29"/>
        <v>60252000</v>
      </c>
      <c r="AB59" s="15">
        <f t="shared" si="29"/>
        <v>45356125.796000004</v>
      </c>
      <c r="AC59" s="67">
        <f t="shared" si="29"/>
        <v>20084000</v>
      </c>
      <c r="AD59" s="15">
        <f t="shared" si="29"/>
        <v>20178278.397</v>
      </c>
      <c r="AE59" s="41">
        <f t="shared" si="29"/>
        <v>20084000</v>
      </c>
      <c r="AF59" s="15">
        <f t="shared" si="29"/>
        <v>19179127.528000001</v>
      </c>
      <c r="AG59" s="41">
        <f t="shared" si="29"/>
        <v>20084000</v>
      </c>
      <c r="AH59" s="15">
        <f t="shared" si="29"/>
        <v>13212748.022</v>
      </c>
      <c r="AI59" s="41">
        <f t="shared" si="29"/>
        <v>60252000</v>
      </c>
      <c r="AJ59" s="15">
        <f t="shared" si="29"/>
        <v>52570153.946999997</v>
      </c>
      <c r="AK59" s="41">
        <f t="shared" si="29"/>
        <v>120504000</v>
      </c>
      <c r="AL59" s="15">
        <f t="shared" si="29"/>
        <v>97926279.743000001</v>
      </c>
      <c r="AM59" s="67">
        <f t="shared" si="12"/>
        <v>241008000</v>
      </c>
      <c r="AN59" s="15">
        <f t="shared" si="13"/>
        <v>180485732.75799996</v>
      </c>
    </row>
    <row r="60" spans="1:40" ht="20.25" customHeight="1" x14ac:dyDescent="0.15">
      <c r="A60" s="218" t="s">
        <v>75</v>
      </c>
      <c r="B60" s="219"/>
      <c r="C60" s="37">
        <f>C21-C59</f>
        <v>3408000</v>
      </c>
      <c r="D60" s="9">
        <f>D21-D59</f>
        <v>16968323.202</v>
      </c>
      <c r="E60" s="37">
        <f t="shared" ref="E60:AL60" si="30">E21-E59</f>
        <v>9070000</v>
      </c>
      <c r="F60" s="9">
        <f t="shared" si="30"/>
        <v>19961862.920000002</v>
      </c>
      <c r="G60" s="37">
        <f t="shared" si="30"/>
        <v>5144000</v>
      </c>
      <c r="H60" s="9">
        <f t="shared" si="30"/>
        <v>17933642.888</v>
      </c>
      <c r="I60" s="37">
        <f>I21-I59</f>
        <v>17622000</v>
      </c>
      <c r="J60" s="9">
        <f>J21-J59</f>
        <v>54863829.010000005</v>
      </c>
      <c r="K60" s="63">
        <f t="shared" si="30"/>
        <v>4885000</v>
      </c>
      <c r="L60" s="9">
        <f t="shared" si="30"/>
        <v>19592450.73</v>
      </c>
      <c r="M60" s="37">
        <f t="shared" si="30"/>
        <v>8968000</v>
      </c>
      <c r="N60" s="9">
        <f t="shared" si="30"/>
        <v>21236492.344999999</v>
      </c>
      <c r="O60" s="37">
        <f t="shared" si="30"/>
        <v>6347000</v>
      </c>
      <c r="P60" s="9">
        <f t="shared" si="30"/>
        <v>20742745.899999999</v>
      </c>
      <c r="Q60" s="37">
        <f t="shared" si="30"/>
        <v>80452000</v>
      </c>
      <c r="R60" s="9">
        <f t="shared" si="30"/>
        <v>100656871</v>
      </c>
      <c r="S60" s="37">
        <f t="shared" si="30"/>
        <v>158326000</v>
      </c>
      <c r="T60" s="9">
        <f t="shared" si="30"/>
        <v>155520700.00999999</v>
      </c>
      <c r="U60" s="63">
        <f t="shared" si="30"/>
        <v>7506000</v>
      </c>
      <c r="V60" s="9">
        <f t="shared" si="30"/>
        <v>17281213.18</v>
      </c>
      <c r="W60" s="37">
        <f t="shared" si="30"/>
        <v>6347000</v>
      </c>
      <c r="X60" s="9">
        <f t="shared" si="30"/>
        <v>20004879.537999999</v>
      </c>
      <c r="Y60" s="37">
        <f t="shared" si="30"/>
        <v>6346000</v>
      </c>
      <c r="Z60" s="9">
        <f t="shared" si="30"/>
        <v>15166644.486000001</v>
      </c>
      <c r="AA60" s="37">
        <f t="shared" si="30"/>
        <v>20199000</v>
      </c>
      <c r="AB60" s="9">
        <f t="shared" si="30"/>
        <v>52452737.203999996</v>
      </c>
      <c r="AC60" s="63">
        <f t="shared" si="30"/>
        <v>6345000</v>
      </c>
      <c r="AD60" s="9">
        <f t="shared" si="30"/>
        <v>11612564.603</v>
      </c>
      <c r="AE60" s="37">
        <f t="shared" si="30"/>
        <v>7710000</v>
      </c>
      <c r="AF60" s="9">
        <f t="shared" si="30"/>
        <v>12547020.471999999</v>
      </c>
      <c r="AG60" s="37">
        <f t="shared" si="30"/>
        <v>3543000</v>
      </c>
      <c r="AH60" s="9">
        <f t="shared" si="30"/>
        <v>18773503.978</v>
      </c>
      <c r="AI60" s="37">
        <f t="shared" si="30"/>
        <v>17598000</v>
      </c>
      <c r="AJ60" s="9">
        <f t="shared" si="30"/>
        <v>42933089.053000003</v>
      </c>
      <c r="AK60" s="37">
        <f t="shared" si="30"/>
        <v>37797000</v>
      </c>
      <c r="AL60" s="9">
        <f t="shared" si="30"/>
        <v>95385826.256999999</v>
      </c>
      <c r="AM60" s="63">
        <f t="shared" si="12"/>
        <v>75619000</v>
      </c>
      <c r="AN60" s="9">
        <f t="shared" si="13"/>
        <v>211821344.24199998</v>
      </c>
    </row>
    <row r="61" spans="1:40" s="16" customFormat="1" ht="20.25" customHeight="1" thickBot="1" x14ac:dyDescent="0.2">
      <c r="A61" s="210" t="s">
        <v>29</v>
      </c>
      <c r="B61" s="211"/>
      <c r="C61" s="38">
        <f t="shared" ref="C61:AN61" si="31">IF(C5=0,"        ― ",C60/C5)</f>
        <v>2.7934426229508195E-2</v>
      </c>
      <c r="D61" s="10">
        <f t="shared" si="31"/>
        <v>0.13265555828867082</v>
      </c>
      <c r="E61" s="38">
        <f t="shared" si="31"/>
        <v>6.0628342245989307E-2</v>
      </c>
      <c r="F61" s="10">
        <f t="shared" si="31"/>
        <v>0.13389421806561061</v>
      </c>
      <c r="G61" s="38">
        <f t="shared" si="31"/>
        <v>3.9569230769230766E-2</v>
      </c>
      <c r="H61" s="10">
        <f t="shared" si="31"/>
        <v>0.12723962419276277</v>
      </c>
      <c r="I61" s="38">
        <f t="shared" si="31"/>
        <v>4.3879482071713147E-2</v>
      </c>
      <c r="J61" s="10">
        <f t="shared" si="31"/>
        <v>0.13127098111379054</v>
      </c>
      <c r="K61" s="64">
        <f t="shared" si="31"/>
        <v>3.7956487956487955E-2</v>
      </c>
      <c r="L61" s="10">
        <f t="shared" si="31"/>
        <v>0.14238116061231212</v>
      </c>
      <c r="M61" s="38">
        <f t="shared" si="31"/>
        <v>6.0147551978537897E-2</v>
      </c>
      <c r="N61" s="10">
        <f t="shared" si="31"/>
        <v>0.13824199386760339</v>
      </c>
      <c r="O61" s="38">
        <f t="shared" si="31"/>
        <v>4.6669117647058826E-2</v>
      </c>
      <c r="P61" s="10">
        <f t="shared" si="31"/>
        <v>0.14059788854264935</v>
      </c>
      <c r="Q61" s="38">
        <f t="shared" si="31"/>
        <v>0.19442242629289511</v>
      </c>
      <c r="R61" s="10">
        <f t="shared" si="31"/>
        <v>0.22941407669548711</v>
      </c>
      <c r="S61" s="38">
        <f t="shared" si="31"/>
        <v>0.19416973264655385</v>
      </c>
      <c r="T61" s="10">
        <f t="shared" si="31"/>
        <v>0.18153469156522192</v>
      </c>
      <c r="U61" s="64">
        <f t="shared" si="31"/>
        <v>5.2933709449929478E-2</v>
      </c>
      <c r="V61" s="10">
        <f t="shared" si="31"/>
        <v>0.11380441135912987</v>
      </c>
      <c r="W61" s="38">
        <f t="shared" si="31"/>
        <v>4.6669117647058826E-2</v>
      </c>
      <c r="X61" s="10">
        <f t="shared" si="31"/>
        <v>0.13468943330155259</v>
      </c>
      <c r="Y61" s="38">
        <f t="shared" si="31"/>
        <v>4.6661764705882354E-2</v>
      </c>
      <c r="Z61" s="10">
        <f t="shared" si="31"/>
        <v>0.10095186243179509</v>
      </c>
      <c r="AA61" s="38">
        <f t="shared" si="31"/>
        <v>4.8813436442725955E-2</v>
      </c>
      <c r="AB61" s="10">
        <f t="shared" si="31"/>
        <v>0.11640320209141826</v>
      </c>
      <c r="AC61" s="64">
        <f t="shared" si="31"/>
        <v>4.6654411764705882E-2</v>
      </c>
      <c r="AD61" s="10">
        <f t="shared" si="31"/>
        <v>7.8777806447048904E-2</v>
      </c>
      <c r="AE61" s="38">
        <f t="shared" si="31"/>
        <v>5.3991596638655465E-2</v>
      </c>
      <c r="AF61" s="10">
        <f t="shared" si="31"/>
        <v>8.5157694234206369E-2</v>
      </c>
      <c r="AG61" s="38">
        <f t="shared" si="31"/>
        <v>2.9040983606557377E-2</v>
      </c>
      <c r="AH61" s="10">
        <f t="shared" si="31"/>
        <v>0.12991162764353603</v>
      </c>
      <c r="AI61" s="38">
        <f t="shared" si="31"/>
        <v>4.3907185628742518E-2</v>
      </c>
      <c r="AJ61" s="10">
        <f t="shared" si="31"/>
        <v>9.7740127306906274E-2</v>
      </c>
      <c r="AK61" s="38">
        <f t="shared" si="31"/>
        <v>4.6399459857598822E-2</v>
      </c>
      <c r="AL61" s="10">
        <f t="shared" si="31"/>
        <v>0.10719073721580241</v>
      </c>
      <c r="AM61" s="64">
        <f t="shared" si="31"/>
        <v>4.63920245398773E-2</v>
      </c>
      <c r="AN61" s="10">
        <f t="shared" si="31"/>
        <v>0.12127849762561345</v>
      </c>
    </row>
    <row r="62" spans="1:40" s="18" customFormat="1" ht="20.25" hidden="1" customHeight="1" thickBot="1" x14ac:dyDescent="0.2">
      <c r="A62" s="237" t="s">
        <v>58</v>
      </c>
      <c r="B62" s="238"/>
      <c r="C62" s="42"/>
      <c r="D62" s="17"/>
      <c r="E62" s="42"/>
      <c r="F62" s="17"/>
      <c r="G62" s="42"/>
      <c r="H62" s="17"/>
      <c r="I62" s="41"/>
      <c r="J62" s="15"/>
      <c r="K62" s="68"/>
      <c r="L62" s="17"/>
      <c r="M62" s="42"/>
      <c r="N62" s="17"/>
      <c r="O62" s="42"/>
      <c r="P62" s="17"/>
      <c r="Q62" s="41"/>
      <c r="R62" s="15"/>
      <c r="S62" s="41"/>
      <c r="T62" s="15"/>
      <c r="U62" s="68"/>
      <c r="V62" s="17"/>
      <c r="W62" s="42"/>
      <c r="X62" s="17"/>
      <c r="Y62" s="42"/>
      <c r="Z62" s="17"/>
      <c r="AA62" s="41"/>
      <c r="AB62" s="15"/>
      <c r="AC62" s="68"/>
      <c r="AD62" s="17"/>
      <c r="AE62" s="42"/>
      <c r="AF62" s="17"/>
      <c r="AG62" s="42"/>
      <c r="AH62" s="17"/>
      <c r="AI62" s="41"/>
      <c r="AJ62" s="15"/>
      <c r="AK62" s="41"/>
      <c r="AL62" s="15"/>
      <c r="AM62" s="67"/>
      <c r="AN62" s="15"/>
    </row>
    <row r="63" spans="1:40" s="18" customFormat="1" ht="20.25" customHeight="1" thickBot="1" x14ac:dyDescent="0.2">
      <c r="A63" s="239" t="s">
        <v>59</v>
      </c>
      <c r="B63" s="240"/>
      <c r="C63" s="42">
        <f t="shared" ref="C63:AL63" si="32">C5*0.04</f>
        <v>4880000</v>
      </c>
      <c r="D63" s="17">
        <f>D5*0.04</f>
        <v>5116505.76</v>
      </c>
      <c r="E63" s="42">
        <f t="shared" si="32"/>
        <v>5984000</v>
      </c>
      <c r="F63" s="17">
        <f t="shared" si="32"/>
        <v>5963472.7199999997</v>
      </c>
      <c r="G63" s="42">
        <f t="shared" si="32"/>
        <v>5200000</v>
      </c>
      <c r="H63" s="17">
        <f t="shared" si="32"/>
        <v>5637754.1200000001</v>
      </c>
      <c r="I63" s="41">
        <f>I5*0.04</f>
        <v>16064000</v>
      </c>
      <c r="J63" s="15">
        <f t="shared" si="32"/>
        <v>16717732.6</v>
      </c>
      <c r="K63" s="68">
        <f t="shared" si="32"/>
        <v>5148000</v>
      </c>
      <c r="L63" s="17">
        <f t="shared" si="32"/>
        <v>5504225.6000000006</v>
      </c>
      <c r="M63" s="42">
        <f t="shared" si="32"/>
        <v>5964000</v>
      </c>
      <c r="N63" s="17">
        <f t="shared" si="32"/>
        <v>6144729.7599999998</v>
      </c>
      <c r="O63" s="42">
        <f t="shared" si="32"/>
        <v>5440000</v>
      </c>
      <c r="P63" s="17">
        <f t="shared" si="32"/>
        <v>5901296.5600000005</v>
      </c>
      <c r="Q63" s="41">
        <f t="shared" si="32"/>
        <v>16552000</v>
      </c>
      <c r="R63" s="15">
        <f t="shared" si="32"/>
        <v>17550251.920000002</v>
      </c>
      <c r="S63" s="41">
        <f t="shared" si="32"/>
        <v>32616000</v>
      </c>
      <c r="T63" s="15">
        <f t="shared" si="32"/>
        <v>34267984.520000003</v>
      </c>
      <c r="U63" s="68">
        <f t="shared" si="32"/>
        <v>5672000</v>
      </c>
      <c r="V63" s="17">
        <f t="shared" si="32"/>
        <v>6074004.6799999997</v>
      </c>
      <c r="W63" s="42">
        <f t="shared" si="32"/>
        <v>5440000</v>
      </c>
      <c r="X63" s="17">
        <f t="shared" si="32"/>
        <v>5941039.04</v>
      </c>
      <c r="Y63" s="42">
        <f t="shared" si="32"/>
        <v>5440000</v>
      </c>
      <c r="Z63" s="17">
        <f t="shared" si="32"/>
        <v>6009456.04</v>
      </c>
      <c r="AA63" s="41">
        <f t="shared" si="32"/>
        <v>16552000</v>
      </c>
      <c r="AB63" s="15">
        <f t="shared" si="32"/>
        <v>18024499.760000002</v>
      </c>
      <c r="AC63" s="68">
        <f t="shared" si="32"/>
        <v>5440000</v>
      </c>
      <c r="AD63" s="17">
        <f t="shared" si="32"/>
        <v>5896363.5200000005</v>
      </c>
      <c r="AE63" s="42">
        <f t="shared" si="32"/>
        <v>5712000</v>
      </c>
      <c r="AF63" s="17">
        <f t="shared" si="32"/>
        <v>5893546.3600000003</v>
      </c>
      <c r="AG63" s="42">
        <f t="shared" si="32"/>
        <v>4880000</v>
      </c>
      <c r="AH63" s="17">
        <f t="shared" si="32"/>
        <v>5780392.2000000002</v>
      </c>
      <c r="AI63" s="41">
        <f t="shared" si="32"/>
        <v>16032000</v>
      </c>
      <c r="AJ63" s="15">
        <f t="shared" si="32"/>
        <v>17570302.080000002</v>
      </c>
      <c r="AK63" s="41">
        <f t="shared" si="32"/>
        <v>32584000</v>
      </c>
      <c r="AL63" s="15">
        <f t="shared" si="32"/>
        <v>35594801.840000004</v>
      </c>
      <c r="AM63" s="67">
        <f t="shared" ref="AM63:AM64" si="33">SUM(C63,E63,G63,K63,M63,O63,U63,W63,Y63,AC63,AE63,AG63)</f>
        <v>65200000</v>
      </c>
      <c r="AN63" s="15">
        <f>AN5*0.04</f>
        <v>69862786.359999999</v>
      </c>
    </row>
    <row r="64" spans="1:40" ht="20.25" customHeight="1" x14ac:dyDescent="0.15">
      <c r="A64" s="218" t="s">
        <v>60</v>
      </c>
      <c r="B64" s="219"/>
      <c r="C64" s="37">
        <f>C60-C63+C62</f>
        <v>-1472000</v>
      </c>
      <c r="D64" s="9">
        <f>D60-D63+D62</f>
        <v>11851817.442</v>
      </c>
      <c r="E64" s="37">
        <f t="shared" ref="E64:AL64" si="34">E60-E63+E62</f>
        <v>3086000</v>
      </c>
      <c r="F64" s="9">
        <f t="shared" si="34"/>
        <v>13998390.200000003</v>
      </c>
      <c r="G64" s="37">
        <f t="shared" si="34"/>
        <v>-56000</v>
      </c>
      <c r="H64" s="9">
        <f t="shared" si="34"/>
        <v>12295888.767999999</v>
      </c>
      <c r="I64" s="37">
        <f>I60-I63+I62</f>
        <v>1558000</v>
      </c>
      <c r="J64" s="9">
        <f t="shared" si="34"/>
        <v>38146096.410000004</v>
      </c>
      <c r="K64" s="63">
        <f t="shared" si="34"/>
        <v>-263000</v>
      </c>
      <c r="L64" s="9">
        <f t="shared" si="34"/>
        <v>14088225.129999999</v>
      </c>
      <c r="M64" s="37">
        <f t="shared" si="34"/>
        <v>3004000</v>
      </c>
      <c r="N64" s="9">
        <f t="shared" si="34"/>
        <v>15091762.584999999</v>
      </c>
      <c r="O64" s="37">
        <f t="shared" si="34"/>
        <v>907000</v>
      </c>
      <c r="P64" s="9">
        <f t="shared" si="34"/>
        <v>14841449.339999998</v>
      </c>
      <c r="Q64" s="37">
        <f t="shared" si="34"/>
        <v>63900000</v>
      </c>
      <c r="R64" s="9">
        <f t="shared" si="34"/>
        <v>83106619.079999998</v>
      </c>
      <c r="S64" s="37">
        <f t="shared" si="34"/>
        <v>125710000</v>
      </c>
      <c r="T64" s="9">
        <f t="shared" si="34"/>
        <v>121252715.48999998</v>
      </c>
      <c r="U64" s="63">
        <f t="shared" si="34"/>
        <v>1834000</v>
      </c>
      <c r="V64" s="9">
        <f t="shared" si="34"/>
        <v>11207208.5</v>
      </c>
      <c r="W64" s="37">
        <f t="shared" si="34"/>
        <v>907000</v>
      </c>
      <c r="X64" s="9">
        <f t="shared" si="34"/>
        <v>14063840.498</v>
      </c>
      <c r="Y64" s="37">
        <f t="shared" si="34"/>
        <v>906000</v>
      </c>
      <c r="Z64" s="9">
        <f t="shared" si="34"/>
        <v>9157188.4460000023</v>
      </c>
      <c r="AA64" s="37">
        <f t="shared" si="34"/>
        <v>3647000</v>
      </c>
      <c r="AB64" s="9">
        <f t="shared" si="34"/>
        <v>34428237.443999991</v>
      </c>
      <c r="AC64" s="63">
        <f t="shared" si="34"/>
        <v>905000</v>
      </c>
      <c r="AD64" s="9">
        <f t="shared" si="34"/>
        <v>5716201.0829999996</v>
      </c>
      <c r="AE64" s="37">
        <f t="shared" si="34"/>
        <v>1998000</v>
      </c>
      <c r="AF64" s="9">
        <f t="shared" si="34"/>
        <v>6653474.1119999988</v>
      </c>
      <c r="AG64" s="37">
        <f t="shared" si="34"/>
        <v>-1337000</v>
      </c>
      <c r="AH64" s="9">
        <f t="shared" si="34"/>
        <v>12993111.778000001</v>
      </c>
      <c r="AI64" s="37">
        <f t="shared" si="34"/>
        <v>1566000</v>
      </c>
      <c r="AJ64" s="9">
        <f t="shared" si="34"/>
        <v>25362786.973000001</v>
      </c>
      <c r="AK64" s="37">
        <f t="shared" si="34"/>
        <v>5213000</v>
      </c>
      <c r="AL64" s="9">
        <f t="shared" si="34"/>
        <v>59791024.416999996</v>
      </c>
      <c r="AM64" s="63">
        <f t="shared" si="33"/>
        <v>10419000</v>
      </c>
      <c r="AN64" s="9">
        <f>AN60-AN63+AN62</f>
        <v>141958557.88199997</v>
      </c>
    </row>
    <row r="65" spans="1:40" s="16" customFormat="1" ht="20.25" customHeight="1" thickBot="1" x14ac:dyDescent="0.2">
      <c r="A65" s="210" t="s">
        <v>61</v>
      </c>
      <c r="B65" s="211"/>
      <c r="C65" s="38">
        <f t="shared" ref="C65:AN65" si="35">IF(C11=0,"        ― ",C64/C5)</f>
        <v>-1.2065573770491804E-2</v>
      </c>
      <c r="D65" s="10">
        <f t="shared" si="35"/>
        <v>9.2655558288670822E-2</v>
      </c>
      <c r="E65" s="38">
        <f t="shared" si="35"/>
        <v>2.0628342245989306E-2</v>
      </c>
      <c r="F65" s="10">
        <f t="shared" si="35"/>
        <v>9.389421806561063E-2</v>
      </c>
      <c r="G65" s="38">
        <f t="shared" si="35"/>
        <v>-4.3076923076923077E-4</v>
      </c>
      <c r="H65" s="10">
        <f t="shared" si="35"/>
        <v>8.7239624192762766E-2</v>
      </c>
      <c r="I65" s="38">
        <f t="shared" si="35"/>
        <v>3.8794820717131472E-3</v>
      </c>
      <c r="J65" s="10">
        <f t="shared" si="35"/>
        <v>9.127098111379052E-2</v>
      </c>
      <c r="K65" s="64">
        <f t="shared" si="35"/>
        <v>-2.0435120435120437E-3</v>
      </c>
      <c r="L65" s="10">
        <f t="shared" si="35"/>
        <v>0.1023811606123121</v>
      </c>
      <c r="M65" s="38">
        <f t="shared" si="35"/>
        <v>2.0147551978537893E-2</v>
      </c>
      <c r="N65" s="10">
        <f t="shared" si="35"/>
        <v>9.8241993867603378E-2</v>
      </c>
      <c r="O65" s="38">
        <f t="shared" si="35"/>
        <v>6.6691176470588236E-3</v>
      </c>
      <c r="P65" s="10">
        <f t="shared" si="35"/>
        <v>0.10059788854264934</v>
      </c>
      <c r="Q65" s="38">
        <f t="shared" si="35"/>
        <v>0.15442242629289513</v>
      </c>
      <c r="R65" s="10">
        <f t="shared" si="35"/>
        <v>0.1894140766954871</v>
      </c>
      <c r="S65" s="38">
        <f t="shared" si="35"/>
        <v>0.15416973264655384</v>
      </c>
      <c r="T65" s="10">
        <f t="shared" si="35"/>
        <v>0.14153469156522192</v>
      </c>
      <c r="U65" s="64">
        <f t="shared" si="35"/>
        <v>1.2933709449929479E-2</v>
      </c>
      <c r="V65" s="10">
        <f t="shared" si="35"/>
        <v>7.3804411359129865E-2</v>
      </c>
      <c r="W65" s="38">
        <f t="shared" si="35"/>
        <v>6.6691176470588236E-3</v>
      </c>
      <c r="X65" s="10">
        <f t="shared" si="35"/>
        <v>9.4689433301552578E-2</v>
      </c>
      <c r="Y65" s="38">
        <f t="shared" si="35"/>
        <v>6.6617647058823531E-3</v>
      </c>
      <c r="Z65" s="10">
        <f t="shared" si="35"/>
        <v>6.0951862431795088E-2</v>
      </c>
      <c r="AA65" s="38">
        <f t="shared" si="35"/>
        <v>8.813436442725954E-3</v>
      </c>
      <c r="AB65" s="10">
        <f t="shared" si="35"/>
        <v>7.6403202091418237E-2</v>
      </c>
      <c r="AC65" s="64">
        <f t="shared" si="35"/>
        <v>6.6544117647058827E-3</v>
      </c>
      <c r="AD65" s="10">
        <f t="shared" si="35"/>
        <v>3.877780644704891E-2</v>
      </c>
      <c r="AE65" s="38">
        <f t="shared" si="35"/>
        <v>1.3991596638655462E-2</v>
      </c>
      <c r="AF65" s="10">
        <f t="shared" si="35"/>
        <v>4.5157694234206375E-2</v>
      </c>
      <c r="AG65" s="38">
        <f t="shared" si="35"/>
        <v>-1.0959016393442622E-2</v>
      </c>
      <c r="AH65" s="10">
        <f t="shared" si="35"/>
        <v>8.9911627643536024E-2</v>
      </c>
      <c r="AI65" s="38">
        <f t="shared" si="35"/>
        <v>3.9071856287425152E-3</v>
      </c>
      <c r="AJ65" s="10">
        <f t="shared" si="35"/>
        <v>5.7740127306906273E-2</v>
      </c>
      <c r="AK65" s="38">
        <f t="shared" si="35"/>
        <v>6.3994598575988215E-3</v>
      </c>
      <c r="AL65" s="10">
        <f t="shared" si="35"/>
        <v>6.7190737215802404E-2</v>
      </c>
      <c r="AM65" s="64">
        <f t="shared" si="35"/>
        <v>6.3920245398773005E-3</v>
      </c>
      <c r="AN65" s="10">
        <f t="shared" si="35"/>
        <v>8.1278497625613441E-2</v>
      </c>
    </row>
    <row r="66" spans="1:40" s="20" customFormat="1" ht="30" hidden="1" customHeight="1" thickBot="1" x14ac:dyDescent="0.2">
      <c r="A66" s="92" t="s">
        <v>62</v>
      </c>
      <c r="B66" s="93" t="s">
        <v>63</v>
      </c>
      <c r="C66" s="43"/>
      <c r="D66" s="19"/>
      <c r="E66" s="43"/>
      <c r="F66" s="19"/>
      <c r="G66" s="43"/>
      <c r="H66" s="55"/>
      <c r="I66" s="123"/>
      <c r="J66" s="136"/>
      <c r="K66" s="69"/>
      <c r="L66" s="19"/>
      <c r="M66" s="43"/>
      <c r="N66" s="19"/>
      <c r="O66" s="43"/>
      <c r="P66" s="55"/>
      <c r="Q66" s="123"/>
      <c r="R66" s="124"/>
      <c r="S66" s="147"/>
      <c r="T66" s="148"/>
      <c r="U66" s="69"/>
      <c r="V66" s="19"/>
      <c r="W66" s="43"/>
      <c r="X66" s="19"/>
      <c r="Y66" s="43"/>
      <c r="Z66" s="55"/>
      <c r="AA66" s="141"/>
      <c r="AB66" s="142"/>
      <c r="AC66" s="69"/>
      <c r="AD66" s="19"/>
      <c r="AE66" s="43"/>
      <c r="AF66" s="19"/>
      <c r="AG66" s="43"/>
      <c r="AH66" s="55"/>
      <c r="AI66" s="143"/>
      <c r="AJ66" s="124"/>
      <c r="AK66" s="125"/>
      <c r="AL66" s="126"/>
      <c r="AM66" s="131"/>
      <c r="AN66" s="132"/>
    </row>
  </sheetData>
  <mergeCells count="36">
    <mergeCell ref="C1:I1"/>
    <mergeCell ref="K1:S1"/>
    <mergeCell ref="U1:AA1"/>
    <mergeCell ref="AC1:AN1"/>
    <mergeCell ref="A2:B2"/>
    <mergeCell ref="A21:B21"/>
    <mergeCell ref="W3:X3"/>
    <mergeCell ref="Y3:Z3"/>
    <mergeCell ref="AA3:AB3"/>
    <mergeCell ref="AC3:AD3"/>
    <mergeCell ref="K3:L3"/>
    <mergeCell ref="M3:N3"/>
    <mergeCell ref="O3:P3"/>
    <mergeCell ref="Q3:R3"/>
    <mergeCell ref="S3:T3"/>
    <mergeCell ref="U3:V3"/>
    <mergeCell ref="A3:B3"/>
    <mergeCell ref="C3:D3"/>
    <mergeCell ref="E3:F3"/>
    <mergeCell ref="G3:H3"/>
    <mergeCell ref="I3:J3"/>
    <mergeCell ref="AI3:AJ3"/>
    <mergeCell ref="AK3:AL3"/>
    <mergeCell ref="AM3:AN3"/>
    <mergeCell ref="A4:B4"/>
    <mergeCell ref="A5:B5"/>
    <mergeCell ref="AE3:AF3"/>
    <mergeCell ref="AG3:AH3"/>
    <mergeCell ref="A64:B64"/>
    <mergeCell ref="A65:B65"/>
    <mergeCell ref="A22:B22"/>
    <mergeCell ref="A59:B59"/>
    <mergeCell ref="A60:B60"/>
    <mergeCell ref="A61:B61"/>
    <mergeCell ref="A62:B62"/>
    <mergeCell ref="A63:B63"/>
  </mergeCells>
  <phoneticPr fontId="3"/>
  <printOptions horizontalCentered="1"/>
  <pageMargins left="0.23622047244094491" right="0.23622047244094491" top="0.55118110236220474" bottom="0.15748031496062992" header="0.31496062992125984" footer="0.31496062992125984"/>
  <pageSetup paperSize="8" scale="52" orientation="landscape" r:id="rId1"/>
  <headerFooter alignWithMargins="0">
    <oddHeader xml:space="preserve">&amp;L&amp;D&amp;T&amp;C&amp;"ＭＳ Ｐゴシック,太字"&amp;20第22期　売上・粗利・経費　実績 計画&amp;R
</oddHeader>
    <oddFooter xml:space="preserve">&amp;R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N66"/>
  <sheetViews>
    <sheetView view="pageBreakPreview" zoomScale="70" zoomScaleNormal="70" zoomScaleSheetLayoutView="70" workbookViewId="0">
      <pane xSplit="2" ySplit="1" topLeftCell="L2" activePane="bottomRight" state="frozen"/>
      <selection activeCell="X29" sqref="X29"/>
      <selection pane="topRight" activeCell="X29" sqref="X29"/>
      <selection pane="bottomLeft" activeCell="X29" sqref="X29"/>
      <selection pane="bottomRight" sqref="A1:XFD1048576"/>
    </sheetView>
  </sheetViews>
  <sheetFormatPr defaultRowHeight="14.25" outlineLevelCol="2" x14ac:dyDescent="0.15"/>
  <cols>
    <col min="1" max="1" width="9" style="2" customWidth="1"/>
    <col min="2" max="2" width="18.625" style="2" customWidth="1"/>
    <col min="3" max="3" width="13.25" style="2" customWidth="1" outlineLevel="2"/>
    <col min="4" max="4" width="13.25" style="2" customWidth="1" outlineLevel="1"/>
    <col min="5" max="5" width="13.25" style="2" customWidth="1" outlineLevel="2"/>
    <col min="6" max="6" width="13.25" style="2" customWidth="1" outlineLevel="1"/>
    <col min="7" max="7" width="13.25" style="2" customWidth="1" outlineLevel="2"/>
    <col min="8" max="8" width="13.25" style="2" customWidth="1" outlineLevel="1"/>
    <col min="9" max="10" width="13.25" style="2" hidden="1" customWidth="1"/>
    <col min="11" max="11" width="13.25" style="2" customWidth="1" outlineLevel="2"/>
    <col min="12" max="12" width="13.25" style="2" customWidth="1" outlineLevel="1"/>
    <col min="13" max="13" width="13.25" style="2" customWidth="1" outlineLevel="2"/>
    <col min="14" max="14" width="13.25" style="2" customWidth="1" outlineLevel="1"/>
    <col min="15" max="15" width="13.25" style="2" customWidth="1" outlineLevel="2"/>
    <col min="16" max="16" width="13.25" style="2" customWidth="1" outlineLevel="1"/>
    <col min="17" max="20" width="13.25" style="2" hidden="1" customWidth="1"/>
    <col min="21" max="21" width="13.25" style="2" customWidth="1" outlineLevel="2"/>
    <col min="22" max="22" width="13.25" style="2" customWidth="1" outlineLevel="1"/>
    <col min="23" max="23" width="13.25" style="2" customWidth="1" outlineLevel="2"/>
    <col min="24" max="24" width="13.25" style="2" customWidth="1" outlineLevel="1"/>
    <col min="25" max="25" width="13.25" style="2" customWidth="1" outlineLevel="2"/>
    <col min="26" max="26" width="13.25" style="2" customWidth="1" outlineLevel="1"/>
    <col min="27" max="28" width="13.25" style="2" hidden="1" customWidth="1"/>
    <col min="29" max="29" width="13.25" style="2" customWidth="1" outlineLevel="2"/>
    <col min="30" max="30" width="13.25" style="2" customWidth="1" outlineLevel="1"/>
    <col min="31" max="31" width="13.25" style="2" customWidth="1" outlineLevel="2"/>
    <col min="32" max="32" width="13.25" style="2" customWidth="1" outlineLevel="1"/>
    <col min="33" max="33" width="13.25" style="2" customWidth="1" outlineLevel="2"/>
    <col min="34" max="34" width="13.25" style="2" customWidth="1" outlineLevel="1"/>
    <col min="35" max="38" width="13.25" style="2" hidden="1" customWidth="1"/>
    <col min="39" max="40" width="13.25" style="2" customWidth="1"/>
    <col min="41" max="274" width="9" style="2"/>
    <col min="275" max="275" width="9" style="2" customWidth="1"/>
    <col min="276" max="276" width="18.625" style="2" customWidth="1"/>
    <col min="277" max="277" width="0" style="2" hidden="1" customWidth="1"/>
    <col min="278" max="296" width="13.25" style="2" customWidth="1"/>
    <col min="297" max="530" width="9" style="2"/>
    <col min="531" max="531" width="9" style="2" customWidth="1"/>
    <col min="532" max="532" width="18.625" style="2" customWidth="1"/>
    <col min="533" max="533" width="0" style="2" hidden="1" customWidth="1"/>
    <col min="534" max="552" width="13.25" style="2" customWidth="1"/>
    <col min="553" max="786" width="9" style="2"/>
    <col min="787" max="787" width="9" style="2" customWidth="1"/>
    <col min="788" max="788" width="18.625" style="2" customWidth="1"/>
    <col min="789" max="789" width="0" style="2" hidden="1" customWidth="1"/>
    <col min="790" max="808" width="13.25" style="2" customWidth="1"/>
    <col min="809" max="1042" width="9" style="2"/>
    <col min="1043" max="1043" width="9" style="2" customWidth="1"/>
    <col min="1044" max="1044" width="18.625" style="2" customWidth="1"/>
    <col min="1045" max="1045" width="0" style="2" hidden="1" customWidth="1"/>
    <col min="1046" max="1064" width="13.25" style="2" customWidth="1"/>
    <col min="1065" max="1298" width="9" style="2"/>
    <col min="1299" max="1299" width="9" style="2" customWidth="1"/>
    <col min="1300" max="1300" width="18.625" style="2" customWidth="1"/>
    <col min="1301" max="1301" width="0" style="2" hidden="1" customWidth="1"/>
    <col min="1302" max="1320" width="13.25" style="2" customWidth="1"/>
    <col min="1321" max="1554" width="9" style="2"/>
    <col min="1555" max="1555" width="9" style="2" customWidth="1"/>
    <col min="1556" max="1556" width="18.625" style="2" customWidth="1"/>
    <col min="1557" max="1557" width="0" style="2" hidden="1" customWidth="1"/>
    <col min="1558" max="1576" width="13.25" style="2" customWidth="1"/>
    <col min="1577" max="1810" width="9" style="2"/>
    <col min="1811" max="1811" width="9" style="2" customWidth="1"/>
    <col min="1812" max="1812" width="18.625" style="2" customWidth="1"/>
    <col min="1813" max="1813" width="0" style="2" hidden="1" customWidth="1"/>
    <col min="1814" max="1832" width="13.25" style="2" customWidth="1"/>
    <col min="1833" max="2066" width="9" style="2"/>
    <col min="2067" max="2067" width="9" style="2" customWidth="1"/>
    <col min="2068" max="2068" width="18.625" style="2" customWidth="1"/>
    <col min="2069" max="2069" width="0" style="2" hidden="1" customWidth="1"/>
    <col min="2070" max="2088" width="13.25" style="2" customWidth="1"/>
    <col min="2089" max="2322" width="9" style="2"/>
    <col min="2323" max="2323" width="9" style="2" customWidth="1"/>
    <col min="2324" max="2324" width="18.625" style="2" customWidth="1"/>
    <col min="2325" max="2325" width="0" style="2" hidden="1" customWidth="1"/>
    <col min="2326" max="2344" width="13.25" style="2" customWidth="1"/>
    <col min="2345" max="2578" width="9" style="2"/>
    <col min="2579" max="2579" width="9" style="2" customWidth="1"/>
    <col min="2580" max="2580" width="18.625" style="2" customWidth="1"/>
    <col min="2581" max="2581" width="0" style="2" hidden="1" customWidth="1"/>
    <col min="2582" max="2600" width="13.25" style="2" customWidth="1"/>
    <col min="2601" max="2834" width="9" style="2"/>
    <col min="2835" max="2835" width="9" style="2" customWidth="1"/>
    <col min="2836" max="2836" width="18.625" style="2" customWidth="1"/>
    <col min="2837" max="2837" width="0" style="2" hidden="1" customWidth="1"/>
    <col min="2838" max="2856" width="13.25" style="2" customWidth="1"/>
    <col min="2857" max="3090" width="9" style="2"/>
    <col min="3091" max="3091" width="9" style="2" customWidth="1"/>
    <col min="3092" max="3092" width="18.625" style="2" customWidth="1"/>
    <col min="3093" max="3093" width="0" style="2" hidden="1" customWidth="1"/>
    <col min="3094" max="3112" width="13.25" style="2" customWidth="1"/>
    <col min="3113" max="3346" width="9" style="2"/>
    <col min="3347" max="3347" width="9" style="2" customWidth="1"/>
    <col min="3348" max="3348" width="18.625" style="2" customWidth="1"/>
    <col min="3349" max="3349" width="0" style="2" hidden="1" customWidth="1"/>
    <col min="3350" max="3368" width="13.25" style="2" customWidth="1"/>
    <col min="3369" max="3602" width="9" style="2"/>
    <col min="3603" max="3603" width="9" style="2" customWidth="1"/>
    <col min="3604" max="3604" width="18.625" style="2" customWidth="1"/>
    <col min="3605" max="3605" width="0" style="2" hidden="1" customWidth="1"/>
    <col min="3606" max="3624" width="13.25" style="2" customWidth="1"/>
    <col min="3625" max="3858" width="9" style="2"/>
    <col min="3859" max="3859" width="9" style="2" customWidth="1"/>
    <col min="3860" max="3860" width="18.625" style="2" customWidth="1"/>
    <col min="3861" max="3861" width="0" style="2" hidden="1" customWidth="1"/>
    <col min="3862" max="3880" width="13.25" style="2" customWidth="1"/>
    <col min="3881" max="4114" width="9" style="2"/>
    <col min="4115" max="4115" width="9" style="2" customWidth="1"/>
    <col min="4116" max="4116" width="18.625" style="2" customWidth="1"/>
    <col min="4117" max="4117" width="0" style="2" hidden="1" customWidth="1"/>
    <col min="4118" max="4136" width="13.25" style="2" customWidth="1"/>
    <col min="4137" max="4370" width="9" style="2"/>
    <col min="4371" max="4371" width="9" style="2" customWidth="1"/>
    <col min="4372" max="4372" width="18.625" style="2" customWidth="1"/>
    <col min="4373" max="4373" width="0" style="2" hidden="1" customWidth="1"/>
    <col min="4374" max="4392" width="13.25" style="2" customWidth="1"/>
    <col min="4393" max="4626" width="9" style="2"/>
    <col min="4627" max="4627" width="9" style="2" customWidth="1"/>
    <col min="4628" max="4628" width="18.625" style="2" customWidth="1"/>
    <col min="4629" max="4629" width="0" style="2" hidden="1" customWidth="1"/>
    <col min="4630" max="4648" width="13.25" style="2" customWidth="1"/>
    <col min="4649" max="4882" width="9" style="2"/>
    <col min="4883" max="4883" width="9" style="2" customWidth="1"/>
    <col min="4884" max="4884" width="18.625" style="2" customWidth="1"/>
    <col min="4885" max="4885" width="0" style="2" hidden="1" customWidth="1"/>
    <col min="4886" max="4904" width="13.25" style="2" customWidth="1"/>
    <col min="4905" max="5138" width="9" style="2"/>
    <col min="5139" max="5139" width="9" style="2" customWidth="1"/>
    <col min="5140" max="5140" width="18.625" style="2" customWidth="1"/>
    <col min="5141" max="5141" width="0" style="2" hidden="1" customWidth="1"/>
    <col min="5142" max="5160" width="13.25" style="2" customWidth="1"/>
    <col min="5161" max="5394" width="9" style="2"/>
    <col min="5395" max="5395" width="9" style="2" customWidth="1"/>
    <col min="5396" max="5396" width="18.625" style="2" customWidth="1"/>
    <col min="5397" max="5397" width="0" style="2" hidden="1" customWidth="1"/>
    <col min="5398" max="5416" width="13.25" style="2" customWidth="1"/>
    <col min="5417" max="5650" width="9" style="2"/>
    <col min="5651" max="5651" width="9" style="2" customWidth="1"/>
    <col min="5652" max="5652" width="18.625" style="2" customWidth="1"/>
    <col min="5653" max="5653" width="0" style="2" hidden="1" customWidth="1"/>
    <col min="5654" max="5672" width="13.25" style="2" customWidth="1"/>
    <col min="5673" max="5906" width="9" style="2"/>
    <col min="5907" max="5907" width="9" style="2" customWidth="1"/>
    <col min="5908" max="5908" width="18.625" style="2" customWidth="1"/>
    <col min="5909" max="5909" width="0" style="2" hidden="1" customWidth="1"/>
    <col min="5910" max="5928" width="13.25" style="2" customWidth="1"/>
    <col min="5929" max="6162" width="9" style="2"/>
    <col min="6163" max="6163" width="9" style="2" customWidth="1"/>
    <col min="6164" max="6164" width="18.625" style="2" customWidth="1"/>
    <col min="6165" max="6165" width="0" style="2" hidden="1" customWidth="1"/>
    <col min="6166" max="6184" width="13.25" style="2" customWidth="1"/>
    <col min="6185" max="6418" width="9" style="2"/>
    <col min="6419" max="6419" width="9" style="2" customWidth="1"/>
    <col min="6420" max="6420" width="18.625" style="2" customWidth="1"/>
    <col min="6421" max="6421" width="0" style="2" hidden="1" customWidth="1"/>
    <col min="6422" max="6440" width="13.25" style="2" customWidth="1"/>
    <col min="6441" max="6674" width="9" style="2"/>
    <col min="6675" max="6675" width="9" style="2" customWidth="1"/>
    <col min="6676" max="6676" width="18.625" style="2" customWidth="1"/>
    <col min="6677" max="6677" width="0" style="2" hidden="1" customWidth="1"/>
    <col min="6678" max="6696" width="13.25" style="2" customWidth="1"/>
    <col min="6697" max="6930" width="9" style="2"/>
    <col min="6931" max="6931" width="9" style="2" customWidth="1"/>
    <col min="6932" max="6932" width="18.625" style="2" customWidth="1"/>
    <col min="6933" max="6933" width="0" style="2" hidden="1" customWidth="1"/>
    <col min="6934" max="6952" width="13.25" style="2" customWidth="1"/>
    <col min="6953" max="7186" width="9" style="2"/>
    <col min="7187" max="7187" width="9" style="2" customWidth="1"/>
    <col min="7188" max="7188" width="18.625" style="2" customWidth="1"/>
    <col min="7189" max="7189" width="0" style="2" hidden="1" customWidth="1"/>
    <col min="7190" max="7208" width="13.25" style="2" customWidth="1"/>
    <col min="7209" max="7442" width="9" style="2"/>
    <col min="7443" max="7443" width="9" style="2" customWidth="1"/>
    <col min="7444" max="7444" width="18.625" style="2" customWidth="1"/>
    <col min="7445" max="7445" width="0" style="2" hidden="1" customWidth="1"/>
    <col min="7446" max="7464" width="13.25" style="2" customWidth="1"/>
    <col min="7465" max="7698" width="9" style="2"/>
    <col min="7699" max="7699" width="9" style="2" customWidth="1"/>
    <col min="7700" max="7700" width="18.625" style="2" customWidth="1"/>
    <col min="7701" max="7701" width="0" style="2" hidden="1" customWidth="1"/>
    <col min="7702" max="7720" width="13.25" style="2" customWidth="1"/>
    <col min="7721" max="7954" width="9" style="2"/>
    <col min="7955" max="7955" width="9" style="2" customWidth="1"/>
    <col min="7956" max="7956" width="18.625" style="2" customWidth="1"/>
    <col min="7957" max="7957" width="0" style="2" hidden="1" customWidth="1"/>
    <col min="7958" max="7976" width="13.25" style="2" customWidth="1"/>
    <col min="7977" max="8210" width="9" style="2"/>
    <col min="8211" max="8211" width="9" style="2" customWidth="1"/>
    <col min="8212" max="8212" width="18.625" style="2" customWidth="1"/>
    <col min="8213" max="8213" width="0" style="2" hidden="1" customWidth="1"/>
    <col min="8214" max="8232" width="13.25" style="2" customWidth="1"/>
    <col min="8233" max="8466" width="9" style="2"/>
    <col min="8467" max="8467" width="9" style="2" customWidth="1"/>
    <col min="8468" max="8468" width="18.625" style="2" customWidth="1"/>
    <col min="8469" max="8469" width="0" style="2" hidden="1" customWidth="1"/>
    <col min="8470" max="8488" width="13.25" style="2" customWidth="1"/>
    <col min="8489" max="8722" width="9" style="2"/>
    <col min="8723" max="8723" width="9" style="2" customWidth="1"/>
    <col min="8724" max="8724" width="18.625" style="2" customWidth="1"/>
    <col min="8725" max="8725" width="0" style="2" hidden="1" customWidth="1"/>
    <col min="8726" max="8744" width="13.25" style="2" customWidth="1"/>
    <col min="8745" max="8978" width="9" style="2"/>
    <col min="8979" max="8979" width="9" style="2" customWidth="1"/>
    <col min="8980" max="8980" width="18.625" style="2" customWidth="1"/>
    <col min="8981" max="8981" width="0" style="2" hidden="1" customWidth="1"/>
    <col min="8982" max="9000" width="13.25" style="2" customWidth="1"/>
    <col min="9001" max="9234" width="9" style="2"/>
    <col min="9235" max="9235" width="9" style="2" customWidth="1"/>
    <col min="9236" max="9236" width="18.625" style="2" customWidth="1"/>
    <col min="9237" max="9237" width="0" style="2" hidden="1" customWidth="1"/>
    <col min="9238" max="9256" width="13.25" style="2" customWidth="1"/>
    <col min="9257" max="9490" width="9" style="2"/>
    <col min="9491" max="9491" width="9" style="2" customWidth="1"/>
    <col min="9492" max="9492" width="18.625" style="2" customWidth="1"/>
    <col min="9493" max="9493" width="0" style="2" hidden="1" customWidth="1"/>
    <col min="9494" max="9512" width="13.25" style="2" customWidth="1"/>
    <col min="9513" max="9746" width="9" style="2"/>
    <col min="9747" max="9747" width="9" style="2" customWidth="1"/>
    <col min="9748" max="9748" width="18.625" style="2" customWidth="1"/>
    <col min="9749" max="9749" width="0" style="2" hidden="1" customWidth="1"/>
    <col min="9750" max="9768" width="13.25" style="2" customWidth="1"/>
    <col min="9769" max="10002" width="9" style="2"/>
    <col min="10003" max="10003" width="9" style="2" customWidth="1"/>
    <col min="10004" max="10004" width="18.625" style="2" customWidth="1"/>
    <col min="10005" max="10005" width="0" style="2" hidden="1" customWidth="1"/>
    <col min="10006" max="10024" width="13.25" style="2" customWidth="1"/>
    <col min="10025" max="10258" width="9" style="2"/>
    <col min="10259" max="10259" width="9" style="2" customWidth="1"/>
    <col min="10260" max="10260" width="18.625" style="2" customWidth="1"/>
    <col min="10261" max="10261" width="0" style="2" hidden="1" customWidth="1"/>
    <col min="10262" max="10280" width="13.25" style="2" customWidth="1"/>
    <col min="10281" max="10514" width="9" style="2"/>
    <col min="10515" max="10515" width="9" style="2" customWidth="1"/>
    <col min="10516" max="10516" width="18.625" style="2" customWidth="1"/>
    <col min="10517" max="10517" width="0" style="2" hidden="1" customWidth="1"/>
    <col min="10518" max="10536" width="13.25" style="2" customWidth="1"/>
    <col min="10537" max="10770" width="9" style="2"/>
    <col min="10771" max="10771" width="9" style="2" customWidth="1"/>
    <col min="10772" max="10772" width="18.625" style="2" customWidth="1"/>
    <col min="10773" max="10773" width="0" style="2" hidden="1" customWidth="1"/>
    <col min="10774" max="10792" width="13.25" style="2" customWidth="1"/>
    <col min="10793" max="11026" width="9" style="2"/>
    <col min="11027" max="11027" width="9" style="2" customWidth="1"/>
    <col min="11028" max="11028" width="18.625" style="2" customWidth="1"/>
    <col min="11029" max="11029" width="0" style="2" hidden="1" customWidth="1"/>
    <col min="11030" max="11048" width="13.25" style="2" customWidth="1"/>
    <col min="11049" max="11282" width="9" style="2"/>
    <col min="11283" max="11283" width="9" style="2" customWidth="1"/>
    <col min="11284" max="11284" width="18.625" style="2" customWidth="1"/>
    <col min="11285" max="11285" width="0" style="2" hidden="1" customWidth="1"/>
    <col min="11286" max="11304" width="13.25" style="2" customWidth="1"/>
    <col min="11305" max="11538" width="9" style="2"/>
    <col min="11539" max="11539" width="9" style="2" customWidth="1"/>
    <col min="11540" max="11540" width="18.625" style="2" customWidth="1"/>
    <col min="11541" max="11541" width="0" style="2" hidden="1" customWidth="1"/>
    <col min="11542" max="11560" width="13.25" style="2" customWidth="1"/>
    <col min="11561" max="11794" width="9" style="2"/>
    <col min="11795" max="11795" width="9" style="2" customWidth="1"/>
    <col min="11796" max="11796" width="18.625" style="2" customWidth="1"/>
    <col min="11797" max="11797" width="0" style="2" hidden="1" customWidth="1"/>
    <col min="11798" max="11816" width="13.25" style="2" customWidth="1"/>
    <col min="11817" max="12050" width="9" style="2"/>
    <col min="12051" max="12051" width="9" style="2" customWidth="1"/>
    <col min="12052" max="12052" width="18.625" style="2" customWidth="1"/>
    <col min="12053" max="12053" width="0" style="2" hidden="1" customWidth="1"/>
    <col min="12054" max="12072" width="13.25" style="2" customWidth="1"/>
    <col min="12073" max="12306" width="9" style="2"/>
    <col min="12307" max="12307" width="9" style="2" customWidth="1"/>
    <col min="12308" max="12308" width="18.625" style="2" customWidth="1"/>
    <col min="12309" max="12309" width="0" style="2" hidden="1" customWidth="1"/>
    <col min="12310" max="12328" width="13.25" style="2" customWidth="1"/>
    <col min="12329" max="12562" width="9" style="2"/>
    <col min="12563" max="12563" width="9" style="2" customWidth="1"/>
    <col min="12564" max="12564" width="18.625" style="2" customWidth="1"/>
    <col min="12565" max="12565" width="0" style="2" hidden="1" customWidth="1"/>
    <col min="12566" max="12584" width="13.25" style="2" customWidth="1"/>
    <col min="12585" max="12818" width="9" style="2"/>
    <col min="12819" max="12819" width="9" style="2" customWidth="1"/>
    <col min="12820" max="12820" width="18.625" style="2" customWidth="1"/>
    <col min="12821" max="12821" width="0" style="2" hidden="1" customWidth="1"/>
    <col min="12822" max="12840" width="13.25" style="2" customWidth="1"/>
    <col min="12841" max="13074" width="9" style="2"/>
    <col min="13075" max="13075" width="9" style="2" customWidth="1"/>
    <col min="13076" max="13076" width="18.625" style="2" customWidth="1"/>
    <col min="13077" max="13077" width="0" style="2" hidden="1" customWidth="1"/>
    <col min="13078" max="13096" width="13.25" style="2" customWidth="1"/>
    <col min="13097" max="13330" width="9" style="2"/>
    <col min="13331" max="13331" width="9" style="2" customWidth="1"/>
    <col min="13332" max="13332" width="18.625" style="2" customWidth="1"/>
    <col min="13333" max="13333" width="0" style="2" hidden="1" customWidth="1"/>
    <col min="13334" max="13352" width="13.25" style="2" customWidth="1"/>
    <col min="13353" max="13586" width="9" style="2"/>
    <col min="13587" max="13587" width="9" style="2" customWidth="1"/>
    <col min="13588" max="13588" width="18.625" style="2" customWidth="1"/>
    <col min="13589" max="13589" width="0" style="2" hidden="1" customWidth="1"/>
    <col min="13590" max="13608" width="13.25" style="2" customWidth="1"/>
    <col min="13609" max="13842" width="9" style="2"/>
    <col min="13843" max="13843" width="9" style="2" customWidth="1"/>
    <col min="13844" max="13844" width="18.625" style="2" customWidth="1"/>
    <col min="13845" max="13845" width="0" style="2" hidden="1" customWidth="1"/>
    <col min="13846" max="13864" width="13.25" style="2" customWidth="1"/>
    <col min="13865" max="14098" width="9" style="2"/>
    <col min="14099" max="14099" width="9" style="2" customWidth="1"/>
    <col min="14100" max="14100" width="18.625" style="2" customWidth="1"/>
    <col min="14101" max="14101" width="0" style="2" hidden="1" customWidth="1"/>
    <col min="14102" max="14120" width="13.25" style="2" customWidth="1"/>
    <col min="14121" max="14354" width="9" style="2"/>
    <col min="14355" max="14355" width="9" style="2" customWidth="1"/>
    <col min="14356" max="14356" width="18.625" style="2" customWidth="1"/>
    <col min="14357" max="14357" width="0" style="2" hidden="1" customWidth="1"/>
    <col min="14358" max="14376" width="13.25" style="2" customWidth="1"/>
    <col min="14377" max="14610" width="9" style="2"/>
    <col min="14611" max="14611" width="9" style="2" customWidth="1"/>
    <col min="14612" max="14612" width="18.625" style="2" customWidth="1"/>
    <col min="14613" max="14613" width="0" style="2" hidden="1" customWidth="1"/>
    <col min="14614" max="14632" width="13.25" style="2" customWidth="1"/>
    <col min="14633" max="14866" width="9" style="2"/>
    <col min="14867" max="14867" width="9" style="2" customWidth="1"/>
    <col min="14868" max="14868" width="18.625" style="2" customWidth="1"/>
    <col min="14869" max="14869" width="0" style="2" hidden="1" customWidth="1"/>
    <col min="14870" max="14888" width="13.25" style="2" customWidth="1"/>
    <col min="14889" max="15122" width="9" style="2"/>
    <col min="15123" max="15123" width="9" style="2" customWidth="1"/>
    <col min="15124" max="15124" width="18.625" style="2" customWidth="1"/>
    <col min="15125" max="15125" width="0" style="2" hidden="1" customWidth="1"/>
    <col min="15126" max="15144" width="13.25" style="2" customWidth="1"/>
    <col min="15145" max="15378" width="9" style="2"/>
    <col min="15379" max="15379" width="9" style="2" customWidth="1"/>
    <col min="15380" max="15380" width="18.625" style="2" customWidth="1"/>
    <col min="15381" max="15381" width="0" style="2" hidden="1" customWidth="1"/>
    <col min="15382" max="15400" width="13.25" style="2" customWidth="1"/>
    <col min="15401" max="15634" width="9" style="2"/>
    <col min="15635" max="15635" width="9" style="2" customWidth="1"/>
    <col min="15636" max="15636" width="18.625" style="2" customWidth="1"/>
    <col min="15637" max="15637" width="0" style="2" hidden="1" customWidth="1"/>
    <col min="15638" max="15656" width="13.25" style="2" customWidth="1"/>
    <col min="15657" max="15890" width="9" style="2"/>
    <col min="15891" max="15891" width="9" style="2" customWidth="1"/>
    <col min="15892" max="15892" width="18.625" style="2" customWidth="1"/>
    <col min="15893" max="15893" width="0" style="2" hidden="1" customWidth="1"/>
    <col min="15894" max="15912" width="13.25" style="2" customWidth="1"/>
    <col min="15913" max="16146" width="9" style="2"/>
    <col min="16147" max="16147" width="9" style="2" customWidth="1"/>
    <col min="16148" max="16148" width="18.625" style="2" customWidth="1"/>
    <col min="16149" max="16149" width="0" style="2" hidden="1" customWidth="1"/>
    <col min="16150" max="16168" width="13.25" style="2" customWidth="1"/>
    <col min="16169" max="16384" width="9" style="2"/>
  </cols>
  <sheetData>
    <row r="1" spans="1:40" ht="21" x14ac:dyDescent="0.2">
      <c r="A1" s="1"/>
      <c r="B1" s="1"/>
      <c r="C1" s="235"/>
      <c r="D1" s="235"/>
      <c r="E1" s="235"/>
      <c r="F1" s="235"/>
      <c r="G1" s="235"/>
      <c r="H1" s="235"/>
      <c r="I1" s="235"/>
      <c r="J1" s="95"/>
      <c r="K1" s="235"/>
      <c r="L1" s="235"/>
      <c r="M1" s="235"/>
      <c r="N1" s="235"/>
      <c r="O1" s="235"/>
      <c r="P1" s="235"/>
      <c r="Q1" s="235"/>
      <c r="R1" s="235"/>
      <c r="S1" s="235"/>
      <c r="T1" s="95"/>
      <c r="U1" s="235"/>
      <c r="V1" s="235"/>
      <c r="W1" s="235"/>
      <c r="X1" s="235"/>
      <c r="Y1" s="235"/>
      <c r="Z1" s="235"/>
      <c r="AA1" s="235"/>
      <c r="AB1" s="9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</row>
    <row r="2" spans="1:40" ht="19.5" thickBot="1" x14ac:dyDescent="0.2">
      <c r="A2" s="236" t="s">
        <v>165</v>
      </c>
      <c r="B2" s="236"/>
    </row>
    <row r="3" spans="1:40" ht="21" customHeight="1" thickTop="1" thickBot="1" x14ac:dyDescent="0.2">
      <c r="A3" s="220" t="s">
        <v>0</v>
      </c>
      <c r="B3" s="221"/>
      <c r="C3" s="222" t="s">
        <v>1</v>
      </c>
      <c r="D3" s="223"/>
      <c r="E3" s="222" t="s">
        <v>2</v>
      </c>
      <c r="F3" s="223"/>
      <c r="G3" s="222" t="s">
        <v>3</v>
      </c>
      <c r="H3" s="223"/>
      <c r="I3" s="224" t="s">
        <v>4</v>
      </c>
      <c r="J3" s="225"/>
      <c r="K3" s="234" t="s">
        <v>5</v>
      </c>
      <c r="L3" s="223"/>
      <c r="M3" s="222" t="s">
        <v>6</v>
      </c>
      <c r="N3" s="223"/>
      <c r="O3" s="222" t="s">
        <v>7</v>
      </c>
      <c r="P3" s="223"/>
      <c r="Q3" s="216" t="s">
        <v>8</v>
      </c>
      <c r="R3" s="217"/>
      <c r="S3" s="226" t="s">
        <v>9</v>
      </c>
      <c r="T3" s="227"/>
      <c r="U3" s="234" t="s">
        <v>10</v>
      </c>
      <c r="V3" s="223"/>
      <c r="W3" s="222" t="s">
        <v>11</v>
      </c>
      <c r="X3" s="223"/>
      <c r="Y3" s="222" t="s">
        <v>12</v>
      </c>
      <c r="Z3" s="223"/>
      <c r="AA3" s="216" t="s">
        <v>13</v>
      </c>
      <c r="AB3" s="217"/>
      <c r="AC3" s="234" t="s">
        <v>14</v>
      </c>
      <c r="AD3" s="223"/>
      <c r="AE3" s="222" t="s">
        <v>15</v>
      </c>
      <c r="AF3" s="223"/>
      <c r="AG3" s="222" t="s">
        <v>16</v>
      </c>
      <c r="AH3" s="223"/>
      <c r="AI3" s="216" t="s">
        <v>17</v>
      </c>
      <c r="AJ3" s="217"/>
      <c r="AK3" s="226" t="s">
        <v>18</v>
      </c>
      <c r="AL3" s="227"/>
      <c r="AM3" s="228" t="s">
        <v>19</v>
      </c>
      <c r="AN3" s="229"/>
    </row>
    <row r="4" spans="1:40" ht="21" customHeight="1" thickTop="1" thickBot="1" x14ac:dyDescent="0.2">
      <c r="A4" s="230" t="s">
        <v>0</v>
      </c>
      <c r="B4" s="231"/>
      <c r="C4" s="30" t="s">
        <v>20</v>
      </c>
      <c r="D4" s="94" t="s">
        <v>83</v>
      </c>
      <c r="E4" s="30" t="s">
        <v>20</v>
      </c>
      <c r="F4" s="94" t="s">
        <v>83</v>
      </c>
      <c r="G4" s="30" t="s">
        <v>20</v>
      </c>
      <c r="H4" s="183" t="s">
        <v>83</v>
      </c>
      <c r="I4" s="30" t="s">
        <v>20</v>
      </c>
      <c r="J4" s="183" t="s">
        <v>83</v>
      </c>
      <c r="K4" s="56" t="s">
        <v>20</v>
      </c>
      <c r="L4" s="94" t="s">
        <v>83</v>
      </c>
      <c r="M4" s="30" t="s">
        <v>20</v>
      </c>
      <c r="N4" s="94" t="s">
        <v>83</v>
      </c>
      <c r="O4" s="30" t="s">
        <v>20</v>
      </c>
      <c r="P4" s="183" t="s">
        <v>83</v>
      </c>
      <c r="Q4" s="30" t="s">
        <v>20</v>
      </c>
      <c r="R4" s="94" t="s">
        <v>83</v>
      </c>
      <c r="S4" s="200" t="s">
        <v>20</v>
      </c>
      <c r="T4" s="183" t="s">
        <v>83</v>
      </c>
      <c r="U4" s="56" t="s">
        <v>20</v>
      </c>
      <c r="V4" s="94" t="s">
        <v>83</v>
      </c>
      <c r="W4" s="30" t="s">
        <v>20</v>
      </c>
      <c r="X4" s="94" t="s">
        <v>83</v>
      </c>
      <c r="Y4" s="30" t="s">
        <v>20</v>
      </c>
      <c r="Z4" s="94" t="s">
        <v>83</v>
      </c>
      <c r="AA4" s="200" t="s">
        <v>20</v>
      </c>
      <c r="AB4" s="183" t="s">
        <v>83</v>
      </c>
      <c r="AC4" s="56" t="s">
        <v>20</v>
      </c>
      <c r="AD4" s="94" t="s">
        <v>83</v>
      </c>
      <c r="AE4" s="30" t="s">
        <v>20</v>
      </c>
      <c r="AF4" s="94" t="s">
        <v>83</v>
      </c>
      <c r="AG4" s="30" t="s">
        <v>20</v>
      </c>
      <c r="AH4" s="94" t="s">
        <v>83</v>
      </c>
      <c r="AI4" s="200" t="s">
        <v>20</v>
      </c>
      <c r="AJ4" s="183" t="s">
        <v>83</v>
      </c>
      <c r="AK4" s="30" t="s">
        <v>20</v>
      </c>
      <c r="AL4" s="94" t="s">
        <v>83</v>
      </c>
      <c r="AM4" s="56" t="s">
        <v>20</v>
      </c>
      <c r="AN4" s="94" t="s">
        <v>83</v>
      </c>
    </row>
    <row r="5" spans="1:40" ht="20.25" customHeight="1" thickBot="1" x14ac:dyDescent="0.2">
      <c r="A5" s="232" t="s">
        <v>21</v>
      </c>
      <c r="B5" s="233"/>
      <c r="C5" s="31">
        <v>19931135</v>
      </c>
      <c r="D5" s="115">
        <f>東!C130</f>
        <v>18724316</v>
      </c>
      <c r="E5" s="31">
        <v>20582135</v>
      </c>
      <c r="F5" s="115">
        <f>東!D130</f>
        <v>20700043</v>
      </c>
      <c r="G5" s="31">
        <v>21832135</v>
      </c>
      <c r="H5" s="15">
        <f>東!E130</f>
        <v>20067986</v>
      </c>
      <c r="I5" s="41">
        <f>C5+E5+G5</f>
        <v>62345405</v>
      </c>
      <c r="J5" s="115">
        <f>D5+F5+H5</f>
        <v>59492345</v>
      </c>
      <c r="K5" s="57">
        <v>23785135</v>
      </c>
      <c r="L5" s="115">
        <f>東!F130</f>
        <v>19814222</v>
      </c>
      <c r="M5" s="31">
        <v>25087135</v>
      </c>
      <c r="N5" s="115">
        <f>東!G130</f>
        <v>19696011</v>
      </c>
      <c r="O5" s="31">
        <v>25738135</v>
      </c>
      <c r="P5" s="15">
        <f>東!H130</f>
        <v>19801544</v>
      </c>
      <c r="Q5" s="41">
        <f>K5+M5+O5</f>
        <v>74610405</v>
      </c>
      <c r="R5" s="115">
        <f>L5+N5+P5</f>
        <v>59311777</v>
      </c>
      <c r="S5" s="149">
        <f>I5+Q5</f>
        <v>136955810</v>
      </c>
      <c r="T5" s="115">
        <f>J5+R5</f>
        <v>118804122</v>
      </c>
      <c r="U5" s="57">
        <v>26389135</v>
      </c>
      <c r="V5" s="115">
        <f>東!I130</f>
        <v>20397318</v>
      </c>
      <c r="W5" s="31">
        <v>27040135</v>
      </c>
      <c r="X5" s="115">
        <f>東!J130</f>
        <v>21214394</v>
      </c>
      <c r="Y5" s="31">
        <v>29691135</v>
      </c>
      <c r="Z5" s="15">
        <f>東!K130</f>
        <v>20028894</v>
      </c>
      <c r="AA5" s="41">
        <f>U5+W5+Y5</f>
        <v>83120405</v>
      </c>
      <c r="AB5" s="115">
        <f>V5+X5+Z5</f>
        <v>61640606</v>
      </c>
      <c r="AC5" s="57">
        <v>29691135</v>
      </c>
      <c r="AD5" s="115">
        <f>東!L130</f>
        <v>20064999</v>
      </c>
      <c r="AE5" s="31">
        <v>29691135</v>
      </c>
      <c r="AF5" s="115">
        <f>東!M130</f>
        <v>19628892</v>
      </c>
      <c r="AG5" s="31">
        <v>30342135</v>
      </c>
      <c r="AH5" s="15">
        <f>東!N130</f>
        <v>19648248</v>
      </c>
      <c r="AI5" s="41">
        <f>AC5+AE5+AG5</f>
        <v>89724405</v>
      </c>
      <c r="AJ5" s="115">
        <f>AD5+AF5+AH5</f>
        <v>59342139</v>
      </c>
      <c r="AK5" s="149">
        <f>AA5+AI5</f>
        <v>172844810</v>
      </c>
      <c r="AL5" s="115">
        <f>AB5+AJ5</f>
        <v>120982745</v>
      </c>
      <c r="AM5" s="127">
        <f>SUM(C5,E5,G5,K5,M5,O5,U5,W5,Y5,AC5,AE5,AG5)</f>
        <v>309800620</v>
      </c>
      <c r="AN5" s="115">
        <f>SUM(D5,F5,H5,L5,N5,P5,V5,X5,Z5,AD5,AF5,AH5)</f>
        <v>239786867</v>
      </c>
    </row>
    <row r="6" spans="1:40" ht="20.25" customHeight="1" x14ac:dyDescent="0.15">
      <c r="A6" s="25" t="s">
        <v>76</v>
      </c>
      <c r="B6" s="29" t="s">
        <v>64</v>
      </c>
      <c r="C6" s="32">
        <v>12079434.943958759</v>
      </c>
      <c r="D6" s="9">
        <f>東!C131</f>
        <v>10300283</v>
      </c>
      <c r="E6" s="32">
        <v>12503933.48941716</v>
      </c>
      <c r="F6" s="9">
        <f>東!D131</f>
        <v>11417638</v>
      </c>
      <c r="G6" s="32">
        <v>13332790.650509961</v>
      </c>
      <c r="H6" s="9">
        <f>東!E131</f>
        <v>11097788</v>
      </c>
      <c r="I6" s="37">
        <f t="shared" ref="I6:J19" si="0">C6+E6+G6</f>
        <v>37916159.083885878</v>
      </c>
      <c r="J6" s="9">
        <f t="shared" si="0"/>
        <v>32815709</v>
      </c>
      <c r="K6" s="58">
        <v>14606286.286885161</v>
      </c>
      <c r="L6" s="9">
        <f>東!F131</f>
        <v>11094959</v>
      </c>
      <c r="M6" s="32">
        <v>15455283.377801958</v>
      </c>
      <c r="N6" s="9">
        <f>東!G131</f>
        <v>11686165</v>
      </c>
      <c r="O6" s="32">
        <v>15879781.923260367</v>
      </c>
      <c r="P6" s="9">
        <f>東!H131</f>
        <v>11470812</v>
      </c>
      <c r="Q6" s="37">
        <f t="shared" ref="Q6:R19" si="1">K6+M6+O6</f>
        <v>45941351.587947488</v>
      </c>
      <c r="R6" s="9">
        <f t="shared" si="1"/>
        <v>34251936</v>
      </c>
      <c r="S6" s="37">
        <f t="shared" ref="S6:T19" si="2">I6+Q6</f>
        <v>83857510.671833366</v>
      </c>
      <c r="T6" s="9">
        <f t="shared" si="2"/>
        <v>67067645</v>
      </c>
      <c r="U6" s="58">
        <v>16304280.46871876</v>
      </c>
      <c r="V6" s="9">
        <f>東!I131</f>
        <v>11936142</v>
      </c>
      <c r="W6" s="32">
        <v>16728779.014177158</v>
      </c>
      <c r="X6" s="9">
        <f>東!J131</f>
        <v>11685923</v>
      </c>
      <c r="Y6" s="32">
        <v>18473928.695635557</v>
      </c>
      <c r="Z6" s="9">
        <f>東!K131</f>
        <v>10960127</v>
      </c>
      <c r="AA6" s="37">
        <f t="shared" ref="AA6:AB19" si="3">U6+W6+Y6</f>
        <v>51506988.178531475</v>
      </c>
      <c r="AB6" s="9">
        <f t="shared" si="3"/>
        <v>34582192</v>
      </c>
      <c r="AC6" s="58">
        <v>18473928.695635557</v>
      </c>
      <c r="AD6" s="9">
        <f>東!L131</f>
        <v>10898619</v>
      </c>
      <c r="AE6" s="32">
        <v>18473928.695635557</v>
      </c>
      <c r="AF6" s="9">
        <f>東!M131</f>
        <v>10666962</v>
      </c>
      <c r="AG6" s="32">
        <v>18898427.24109396</v>
      </c>
      <c r="AH6" s="9">
        <f>東!N131</f>
        <v>10597595</v>
      </c>
      <c r="AI6" s="37">
        <f t="shared" ref="AI6:AJ19" si="4">AC6+AE6+AG6</f>
        <v>55846284.632365078</v>
      </c>
      <c r="AJ6" s="9">
        <f t="shared" si="4"/>
        <v>32163176</v>
      </c>
      <c r="AK6" s="37">
        <f t="shared" ref="AK6:AL19" si="5">AA6+AI6</f>
        <v>107353272.81089655</v>
      </c>
      <c r="AL6" s="9">
        <f t="shared" si="5"/>
        <v>66745368</v>
      </c>
      <c r="AM6" s="63">
        <f t="shared" ref="AM6:AM60" si="6">SUM(C6,E6,G6,K6,M6,O6,U6,W6,Y6,AC6,AE6,AG6)</f>
        <v>191210783.48272988</v>
      </c>
      <c r="AN6" s="9">
        <f t="shared" ref="AN6:AN59" si="7">SUM(D6,F6,H6,L6,N6,P6,V6,X6,Z6,AD6,AF6,AH6)</f>
        <v>133813013</v>
      </c>
    </row>
    <row r="7" spans="1:40" ht="20.25" customHeight="1" x14ac:dyDescent="0.15">
      <c r="A7" s="21" t="s">
        <v>77</v>
      </c>
      <c r="B7" s="5" t="s">
        <v>65</v>
      </c>
      <c r="C7" s="33">
        <v>770000</v>
      </c>
      <c r="D7" s="116">
        <f>東!C132</f>
        <v>517948</v>
      </c>
      <c r="E7" s="33">
        <v>770000</v>
      </c>
      <c r="F7" s="116">
        <f>東!D132</f>
        <v>690844</v>
      </c>
      <c r="G7" s="33">
        <v>770000</v>
      </c>
      <c r="H7" s="116">
        <f>東!E132</f>
        <v>625591</v>
      </c>
      <c r="I7" s="150">
        <f t="shared" si="0"/>
        <v>2310000</v>
      </c>
      <c r="J7" s="116">
        <f t="shared" si="0"/>
        <v>1834383</v>
      </c>
      <c r="K7" s="59">
        <v>770000</v>
      </c>
      <c r="L7" s="116">
        <f>東!F132</f>
        <v>519175</v>
      </c>
      <c r="M7" s="33">
        <v>770000</v>
      </c>
      <c r="N7" s="116">
        <f>東!G132</f>
        <v>681400</v>
      </c>
      <c r="O7" s="33">
        <v>770000</v>
      </c>
      <c r="P7" s="116">
        <f>東!H132</f>
        <v>612149</v>
      </c>
      <c r="Q7" s="150">
        <f t="shared" si="1"/>
        <v>2310000</v>
      </c>
      <c r="R7" s="116">
        <f t="shared" si="1"/>
        <v>1812724</v>
      </c>
      <c r="S7" s="150">
        <f t="shared" si="2"/>
        <v>4620000</v>
      </c>
      <c r="T7" s="116">
        <f t="shared" si="2"/>
        <v>3647107</v>
      </c>
      <c r="U7" s="59">
        <v>770000</v>
      </c>
      <c r="V7" s="116">
        <f>東!I132</f>
        <v>562387</v>
      </c>
      <c r="W7" s="33">
        <v>770000</v>
      </c>
      <c r="X7" s="116">
        <f>東!J132</f>
        <v>555651</v>
      </c>
      <c r="Y7" s="33">
        <v>770000</v>
      </c>
      <c r="Z7" s="116">
        <f>東!K132</f>
        <v>583333</v>
      </c>
      <c r="AA7" s="150">
        <f t="shared" si="3"/>
        <v>2310000</v>
      </c>
      <c r="AB7" s="116">
        <f t="shared" si="3"/>
        <v>1701371</v>
      </c>
      <c r="AC7" s="59">
        <v>770000</v>
      </c>
      <c r="AD7" s="116">
        <f>東!L132</f>
        <v>609395</v>
      </c>
      <c r="AE7" s="33">
        <v>770000</v>
      </c>
      <c r="AF7" s="116">
        <f>東!M132</f>
        <v>650055</v>
      </c>
      <c r="AG7" s="33">
        <v>770000</v>
      </c>
      <c r="AH7" s="116">
        <f>東!N132</f>
        <v>687181</v>
      </c>
      <c r="AI7" s="150">
        <f t="shared" si="4"/>
        <v>2310000</v>
      </c>
      <c r="AJ7" s="116">
        <f t="shared" si="4"/>
        <v>1946631</v>
      </c>
      <c r="AK7" s="150">
        <f t="shared" si="5"/>
        <v>4620000</v>
      </c>
      <c r="AL7" s="116">
        <f t="shared" si="5"/>
        <v>3648002</v>
      </c>
      <c r="AM7" s="128">
        <f t="shared" si="6"/>
        <v>9240000</v>
      </c>
      <c r="AN7" s="116">
        <f>SUM(D7,F7,H7,L7,N7,P7,V7,X7,Z7,AD7,AF7,AH7)</f>
        <v>7295109</v>
      </c>
    </row>
    <row r="8" spans="1:40" ht="20.25" customHeight="1" x14ac:dyDescent="0.15">
      <c r="A8" s="23"/>
      <c r="B8" s="5" t="s">
        <v>66</v>
      </c>
      <c r="C8" s="33">
        <v>262233.36620324</v>
      </c>
      <c r="D8" s="116">
        <f>東!C134</f>
        <v>706721</v>
      </c>
      <c r="E8" s="33">
        <v>270896.60182484001</v>
      </c>
      <c r="F8" s="116">
        <f>東!D134</f>
        <v>816647</v>
      </c>
      <c r="G8" s="33">
        <v>287812.05409204005</v>
      </c>
      <c r="H8" s="116">
        <f>東!E134</f>
        <v>831413</v>
      </c>
      <c r="I8" s="150">
        <f t="shared" si="0"/>
        <v>820942.02212012</v>
      </c>
      <c r="J8" s="116">
        <f t="shared" si="0"/>
        <v>2354781</v>
      </c>
      <c r="K8" s="59">
        <v>313801.76095684007</v>
      </c>
      <c r="L8" s="116">
        <f>東!F134</f>
        <v>693637</v>
      </c>
      <c r="M8" s="33">
        <v>331128.23220003996</v>
      </c>
      <c r="N8" s="116">
        <f>東!G134</f>
        <v>796298</v>
      </c>
      <c r="O8" s="33">
        <v>339791.46782164014</v>
      </c>
      <c r="P8" s="116">
        <f>東!H134</f>
        <v>822823</v>
      </c>
      <c r="Q8" s="150">
        <f t="shared" si="1"/>
        <v>984721.4609785201</v>
      </c>
      <c r="R8" s="116">
        <f t="shared" si="1"/>
        <v>2312758</v>
      </c>
      <c r="S8" s="150">
        <f t="shared" si="2"/>
        <v>1805663.4830986401</v>
      </c>
      <c r="T8" s="116">
        <f t="shared" si="2"/>
        <v>4667539</v>
      </c>
      <c r="U8" s="59">
        <v>348454.70344324003</v>
      </c>
      <c r="V8" s="116">
        <f>東!I134</f>
        <v>740795</v>
      </c>
      <c r="W8" s="33">
        <v>357117.93906484003</v>
      </c>
      <c r="X8" s="116">
        <f>東!J134</f>
        <v>790566</v>
      </c>
      <c r="Y8" s="33">
        <v>392733.23868643993</v>
      </c>
      <c r="Z8" s="116">
        <f>東!K134</f>
        <v>866121</v>
      </c>
      <c r="AA8" s="150">
        <f t="shared" si="3"/>
        <v>1098305.8811945198</v>
      </c>
      <c r="AB8" s="116">
        <f t="shared" si="3"/>
        <v>2397482</v>
      </c>
      <c r="AC8" s="59">
        <v>392733.23868643993</v>
      </c>
      <c r="AD8" s="116">
        <f>東!L134</f>
        <v>854049</v>
      </c>
      <c r="AE8" s="33">
        <v>392733.23868643993</v>
      </c>
      <c r="AF8" s="116">
        <f>東!M134</f>
        <v>943133</v>
      </c>
      <c r="AG8" s="33">
        <v>401396.47430803999</v>
      </c>
      <c r="AH8" s="116">
        <f>東!N134</f>
        <v>811650</v>
      </c>
      <c r="AI8" s="150">
        <f t="shared" si="4"/>
        <v>1186862.9516809199</v>
      </c>
      <c r="AJ8" s="116">
        <f t="shared" si="4"/>
        <v>2608832</v>
      </c>
      <c r="AK8" s="150">
        <f t="shared" si="5"/>
        <v>2285168.8328754399</v>
      </c>
      <c r="AL8" s="116">
        <f t="shared" si="5"/>
        <v>5006314</v>
      </c>
      <c r="AM8" s="128">
        <f t="shared" si="6"/>
        <v>4090832.3159740805</v>
      </c>
      <c r="AN8" s="116">
        <f t="shared" si="7"/>
        <v>9673853</v>
      </c>
    </row>
    <row r="9" spans="1:40" ht="20.25" customHeight="1" x14ac:dyDescent="0.15">
      <c r="A9" s="23"/>
      <c r="B9" s="5" t="s">
        <v>22</v>
      </c>
      <c r="C9" s="34">
        <v>612919.41688199993</v>
      </c>
      <c r="D9" s="116">
        <f>東!C135</f>
        <v>556686</v>
      </c>
      <c r="E9" s="34">
        <v>633168.042762</v>
      </c>
      <c r="F9" s="116">
        <f>東!D135</f>
        <v>547281</v>
      </c>
      <c r="G9" s="34">
        <v>672704.617722</v>
      </c>
      <c r="H9" s="116">
        <f>東!E135</f>
        <v>543704</v>
      </c>
      <c r="I9" s="151">
        <f t="shared" si="0"/>
        <v>1918792.077366</v>
      </c>
      <c r="J9" s="117">
        <f t="shared" si="0"/>
        <v>1647671</v>
      </c>
      <c r="K9" s="60">
        <v>733450.49536200007</v>
      </c>
      <c r="L9" s="116">
        <f>東!F135</f>
        <v>566188</v>
      </c>
      <c r="M9" s="34">
        <v>773947.74712199997</v>
      </c>
      <c r="N9" s="116">
        <f>東!G135</f>
        <v>558523</v>
      </c>
      <c r="O9" s="34">
        <v>794196.37300200004</v>
      </c>
      <c r="P9" s="116">
        <f>東!H135</f>
        <v>584788</v>
      </c>
      <c r="Q9" s="151">
        <f t="shared" si="1"/>
        <v>2301594.6154860002</v>
      </c>
      <c r="R9" s="117">
        <f t="shared" si="1"/>
        <v>1709499</v>
      </c>
      <c r="S9" s="151">
        <f t="shared" si="2"/>
        <v>4220386.6928519998</v>
      </c>
      <c r="T9" s="117">
        <f t="shared" si="2"/>
        <v>3357170</v>
      </c>
      <c r="U9" s="60">
        <v>814444.99888199999</v>
      </c>
      <c r="V9" s="116">
        <f>東!I135</f>
        <v>564859</v>
      </c>
      <c r="W9" s="34">
        <v>834693.62476199993</v>
      </c>
      <c r="X9" s="116">
        <f>東!J135</f>
        <v>558727</v>
      </c>
      <c r="Y9" s="34">
        <v>917937.45064199995</v>
      </c>
      <c r="Z9" s="116">
        <f>東!K135</f>
        <v>486165</v>
      </c>
      <c r="AA9" s="151">
        <f t="shared" si="3"/>
        <v>2567076.0742859999</v>
      </c>
      <c r="AB9" s="117">
        <f t="shared" si="3"/>
        <v>1609751</v>
      </c>
      <c r="AC9" s="60">
        <v>917937.45064199995</v>
      </c>
      <c r="AD9" s="116">
        <f>東!L135</f>
        <v>520402</v>
      </c>
      <c r="AE9" s="34">
        <v>917937.45064199995</v>
      </c>
      <c r="AF9" s="116">
        <f>東!M135</f>
        <v>498940</v>
      </c>
      <c r="AG9" s="34">
        <v>938186.07652200002</v>
      </c>
      <c r="AH9" s="116">
        <f>東!N135</f>
        <v>499962</v>
      </c>
      <c r="AI9" s="151">
        <f t="shared" si="4"/>
        <v>2774060.977806</v>
      </c>
      <c r="AJ9" s="117">
        <f t="shared" si="4"/>
        <v>1519304</v>
      </c>
      <c r="AK9" s="151">
        <f t="shared" si="5"/>
        <v>5341137.0520919999</v>
      </c>
      <c r="AL9" s="117">
        <f t="shared" si="5"/>
        <v>3129055</v>
      </c>
      <c r="AM9" s="129">
        <f t="shared" si="6"/>
        <v>9561523.7449439988</v>
      </c>
      <c r="AN9" s="117">
        <f t="shared" si="7"/>
        <v>6486225</v>
      </c>
    </row>
    <row r="10" spans="1:40" ht="20.25" customHeight="1" x14ac:dyDescent="0.15">
      <c r="A10" s="23"/>
      <c r="B10" s="5" t="s">
        <v>67</v>
      </c>
      <c r="C10" s="34">
        <v>96144.222255999994</v>
      </c>
      <c r="D10" s="116">
        <f>東!C136</f>
        <v>45450</v>
      </c>
      <c r="E10" s="34">
        <v>99320.477296000012</v>
      </c>
      <c r="F10" s="116">
        <f>東!D136</f>
        <v>38540</v>
      </c>
      <c r="G10" s="34">
        <v>105522.29297600001</v>
      </c>
      <c r="H10" s="116">
        <f>東!E136</f>
        <v>42312</v>
      </c>
      <c r="I10" s="151">
        <f t="shared" si="0"/>
        <v>300986.99252800003</v>
      </c>
      <c r="J10" s="117">
        <f t="shared" si="0"/>
        <v>126302</v>
      </c>
      <c r="K10" s="60">
        <v>115051.05809600002</v>
      </c>
      <c r="L10" s="116">
        <f>東!F136</f>
        <v>44116</v>
      </c>
      <c r="M10" s="34">
        <v>121403.568176</v>
      </c>
      <c r="N10" s="116">
        <f>東!G136</f>
        <v>42722</v>
      </c>
      <c r="O10" s="34">
        <v>124579.82321600002</v>
      </c>
      <c r="P10" s="116">
        <f>東!H136</f>
        <v>46494</v>
      </c>
      <c r="Q10" s="151">
        <f t="shared" si="1"/>
        <v>361034.44948800001</v>
      </c>
      <c r="R10" s="117">
        <f t="shared" si="1"/>
        <v>133332</v>
      </c>
      <c r="S10" s="151">
        <f t="shared" si="2"/>
        <v>662021.44201600004</v>
      </c>
      <c r="T10" s="117">
        <f t="shared" si="2"/>
        <v>259634</v>
      </c>
      <c r="U10" s="60">
        <v>127756.07825599999</v>
      </c>
      <c r="V10" s="116">
        <f>東!I136</f>
        <v>46412</v>
      </c>
      <c r="W10" s="34">
        <v>130932.33329600001</v>
      </c>
      <c r="X10" s="116">
        <f>東!J136</f>
        <v>48544</v>
      </c>
      <c r="Y10" s="34">
        <v>143990.18833599999</v>
      </c>
      <c r="Z10" s="116">
        <f>東!K136</f>
        <v>42312</v>
      </c>
      <c r="AA10" s="151">
        <f t="shared" si="3"/>
        <v>402678.599888</v>
      </c>
      <c r="AB10" s="117">
        <f t="shared" si="3"/>
        <v>137268</v>
      </c>
      <c r="AC10" s="60">
        <v>143990.18833599999</v>
      </c>
      <c r="AD10" s="116">
        <f>東!L136</f>
        <v>44198</v>
      </c>
      <c r="AE10" s="34">
        <v>143990.18833599999</v>
      </c>
      <c r="AF10" s="116">
        <f>東!M136</f>
        <v>42394</v>
      </c>
      <c r="AG10" s="34">
        <v>147166.44337600001</v>
      </c>
      <c r="AH10" s="116">
        <f>東!N136</f>
        <v>44198</v>
      </c>
      <c r="AI10" s="151">
        <f t="shared" si="4"/>
        <v>435146.82004799997</v>
      </c>
      <c r="AJ10" s="117">
        <f t="shared" si="4"/>
        <v>130790</v>
      </c>
      <c r="AK10" s="151">
        <f t="shared" si="5"/>
        <v>837825.4199359999</v>
      </c>
      <c r="AL10" s="117">
        <f t="shared" si="5"/>
        <v>268058</v>
      </c>
      <c r="AM10" s="129">
        <f t="shared" si="6"/>
        <v>1499846.8619520003</v>
      </c>
      <c r="AN10" s="117">
        <f t="shared" si="7"/>
        <v>527692</v>
      </c>
    </row>
    <row r="11" spans="1:40" ht="20.25" customHeight="1" x14ac:dyDescent="0.15">
      <c r="A11" s="23"/>
      <c r="B11" s="5" t="s">
        <v>23</v>
      </c>
      <c r="C11" s="34">
        <v>1081622.5003799999</v>
      </c>
      <c r="D11" s="116">
        <f>東!C137</f>
        <v>990030</v>
      </c>
      <c r="E11" s="34">
        <v>1117355.3695799999</v>
      </c>
      <c r="F11" s="116">
        <f>東!D137</f>
        <v>979965</v>
      </c>
      <c r="G11" s="34">
        <v>1187125.7959800002</v>
      </c>
      <c r="H11" s="116">
        <f>東!E137</f>
        <v>973560</v>
      </c>
      <c r="I11" s="151">
        <f t="shared" si="0"/>
        <v>3386103.6659399997</v>
      </c>
      <c r="J11" s="117">
        <f t="shared" si="0"/>
        <v>2943555</v>
      </c>
      <c r="K11" s="60">
        <v>1294324.4035800002</v>
      </c>
      <c r="L11" s="116">
        <f>東!F137</f>
        <v>1013820</v>
      </c>
      <c r="M11" s="34">
        <v>1365790.1419799998</v>
      </c>
      <c r="N11" s="116">
        <f>東!G137</f>
        <v>1000095</v>
      </c>
      <c r="O11" s="34">
        <v>1401523.0111800001</v>
      </c>
      <c r="P11" s="116">
        <f>東!H137</f>
        <v>1047126</v>
      </c>
      <c r="Q11" s="151">
        <f t="shared" si="1"/>
        <v>4061637.5567399999</v>
      </c>
      <c r="R11" s="117">
        <f t="shared" si="1"/>
        <v>3061041</v>
      </c>
      <c r="S11" s="151">
        <f t="shared" si="2"/>
        <v>7447741.2226799997</v>
      </c>
      <c r="T11" s="117">
        <f t="shared" si="2"/>
        <v>6004596</v>
      </c>
      <c r="U11" s="60">
        <v>1437255.88038</v>
      </c>
      <c r="V11" s="116">
        <f>東!I137</f>
        <v>1011441</v>
      </c>
      <c r="W11" s="34">
        <v>1472988.7495800001</v>
      </c>
      <c r="X11" s="116">
        <f>東!J137</f>
        <v>1000461</v>
      </c>
      <c r="Y11" s="34">
        <v>1619889.6187799999</v>
      </c>
      <c r="Z11" s="116">
        <f>東!K137</f>
        <v>870531</v>
      </c>
      <c r="AA11" s="151">
        <f t="shared" si="3"/>
        <v>4530134.2487399997</v>
      </c>
      <c r="AB11" s="117">
        <f t="shared" si="3"/>
        <v>2882433</v>
      </c>
      <c r="AC11" s="60">
        <v>1619889.6187799999</v>
      </c>
      <c r="AD11" s="116">
        <f>東!L137</f>
        <v>931836</v>
      </c>
      <c r="AE11" s="34">
        <v>1619889.6187799999</v>
      </c>
      <c r="AF11" s="116">
        <f>東!M137</f>
        <v>893406</v>
      </c>
      <c r="AG11" s="34">
        <v>1655622.4879800002</v>
      </c>
      <c r="AH11" s="116">
        <f>東!N137</f>
        <v>895236</v>
      </c>
      <c r="AI11" s="151">
        <f t="shared" si="4"/>
        <v>4895401.72554</v>
      </c>
      <c r="AJ11" s="117">
        <f t="shared" si="4"/>
        <v>2720478</v>
      </c>
      <c r="AK11" s="151">
        <f t="shared" si="5"/>
        <v>9425535.9742799997</v>
      </c>
      <c r="AL11" s="117">
        <f t="shared" si="5"/>
        <v>5602911</v>
      </c>
      <c r="AM11" s="129">
        <f t="shared" si="6"/>
        <v>16873277.196959998</v>
      </c>
      <c r="AN11" s="117">
        <f t="shared" si="7"/>
        <v>11607507</v>
      </c>
    </row>
    <row r="12" spans="1:40" ht="20.25" customHeight="1" x14ac:dyDescent="0.15">
      <c r="A12" s="23"/>
      <c r="B12" s="5" t="s">
        <v>24</v>
      </c>
      <c r="C12" s="34">
        <v>84126.194473999989</v>
      </c>
      <c r="D12" s="116">
        <f>東!C138</f>
        <v>56620</v>
      </c>
      <c r="E12" s="34">
        <v>86905.417633999998</v>
      </c>
      <c r="F12" s="116">
        <f>東!D138</f>
        <v>62432</v>
      </c>
      <c r="G12" s="34">
        <v>92332.006353999997</v>
      </c>
      <c r="H12" s="116">
        <f>東!E138</f>
        <v>62282</v>
      </c>
      <c r="I12" s="151">
        <f t="shared" si="0"/>
        <v>263363.61846199998</v>
      </c>
      <c r="J12" s="117">
        <f t="shared" si="0"/>
        <v>181334</v>
      </c>
      <c r="K12" s="60">
        <v>100669.67583400001</v>
      </c>
      <c r="L12" s="116">
        <f>東!F138</f>
        <v>60992</v>
      </c>
      <c r="M12" s="34">
        <v>106228.12215399998</v>
      </c>
      <c r="N12" s="116">
        <f>東!G138</f>
        <v>64578</v>
      </c>
      <c r="O12" s="34">
        <v>109007.34531400001</v>
      </c>
      <c r="P12" s="116">
        <f>東!H138</f>
        <v>63170</v>
      </c>
      <c r="Q12" s="151">
        <f t="shared" si="1"/>
        <v>315905.14330200001</v>
      </c>
      <c r="R12" s="117">
        <f t="shared" si="1"/>
        <v>188740</v>
      </c>
      <c r="S12" s="151">
        <f t="shared" si="2"/>
        <v>579268.76176399994</v>
      </c>
      <c r="T12" s="117">
        <f t="shared" si="2"/>
        <v>370074</v>
      </c>
      <c r="U12" s="60">
        <v>111786.56847399999</v>
      </c>
      <c r="V12" s="116">
        <f>東!I138</f>
        <v>65016</v>
      </c>
      <c r="W12" s="34">
        <v>114565.79163399999</v>
      </c>
      <c r="X12" s="116">
        <f>東!J138</f>
        <v>90411</v>
      </c>
      <c r="Y12" s="34">
        <v>125991.41479399998</v>
      </c>
      <c r="Z12" s="116">
        <f>東!K138</f>
        <v>85776</v>
      </c>
      <c r="AA12" s="151">
        <f t="shared" si="3"/>
        <v>352343.77490199998</v>
      </c>
      <c r="AB12" s="117">
        <f t="shared" si="3"/>
        <v>241203</v>
      </c>
      <c r="AC12" s="60">
        <v>125991.41479399998</v>
      </c>
      <c r="AD12" s="116">
        <f>東!L138</f>
        <v>86904</v>
      </c>
      <c r="AE12" s="34">
        <v>125991.41479399998</v>
      </c>
      <c r="AF12" s="116">
        <f>東!M138</f>
        <v>84843</v>
      </c>
      <c r="AG12" s="34">
        <v>128770.63795400001</v>
      </c>
      <c r="AH12" s="116">
        <f>東!N138</f>
        <v>83311</v>
      </c>
      <c r="AI12" s="151">
        <f t="shared" si="4"/>
        <v>380753.467542</v>
      </c>
      <c r="AJ12" s="117">
        <f t="shared" si="4"/>
        <v>255058</v>
      </c>
      <c r="AK12" s="151">
        <f t="shared" si="5"/>
        <v>733097.24244399997</v>
      </c>
      <c r="AL12" s="117">
        <f t="shared" si="5"/>
        <v>496261</v>
      </c>
      <c r="AM12" s="129">
        <f t="shared" si="6"/>
        <v>1312366.0042079999</v>
      </c>
      <c r="AN12" s="117">
        <f t="shared" si="7"/>
        <v>866335</v>
      </c>
    </row>
    <row r="13" spans="1:40" ht="20.25" customHeight="1" x14ac:dyDescent="0.15">
      <c r="A13" s="23"/>
      <c r="B13" s="5" t="s">
        <v>25</v>
      </c>
      <c r="C13" s="34">
        <v>36054.083345999999</v>
      </c>
      <c r="D13" s="117">
        <f>ROUND(東!C139*3/1000,0)</f>
        <v>36503</v>
      </c>
      <c r="E13" s="34">
        <v>37245.178985999999</v>
      </c>
      <c r="F13" s="117">
        <f>ROUND(東!D139*3/1000,0)</f>
        <v>40801</v>
      </c>
      <c r="G13" s="34">
        <v>39570.859866000006</v>
      </c>
      <c r="H13" s="117">
        <f>ROUND(東!E139*3/1000,0)</f>
        <v>39712</v>
      </c>
      <c r="I13" s="151">
        <f t="shared" si="0"/>
        <v>112870.122198</v>
      </c>
      <c r="J13" s="117">
        <f t="shared" si="0"/>
        <v>117016</v>
      </c>
      <c r="K13" s="60">
        <v>43144.146786000005</v>
      </c>
      <c r="L13" s="117">
        <f>ROUND(東!F139*3/1000,0)</f>
        <v>39073</v>
      </c>
      <c r="M13" s="34">
        <v>45526.338066000004</v>
      </c>
      <c r="N13" s="117">
        <f>ROUND(東!G139*3/1000,0)</f>
        <v>41740</v>
      </c>
      <c r="O13" s="34">
        <v>46717.433706000011</v>
      </c>
      <c r="P13" s="117">
        <f>ROUND(東!H139*3/1000,0)</f>
        <v>40743</v>
      </c>
      <c r="Q13" s="151">
        <f t="shared" si="1"/>
        <v>135387.918558</v>
      </c>
      <c r="R13" s="117">
        <f t="shared" si="1"/>
        <v>121556</v>
      </c>
      <c r="S13" s="151">
        <f t="shared" si="2"/>
        <v>248258.040756</v>
      </c>
      <c r="T13" s="117">
        <f t="shared" si="2"/>
        <v>238572</v>
      </c>
      <c r="U13" s="60">
        <v>47908.529346000003</v>
      </c>
      <c r="V13" s="117">
        <f>ROUND(東!I139*3/1000,0)</f>
        <v>41905</v>
      </c>
      <c r="W13" s="34">
        <v>49099.624986000003</v>
      </c>
      <c r="X13" s="117">
        <f>ROUND(東!J139*3/1000,0)</f>
        <v>41265</v>
      </c>
      <c r="Y13" s="34">
        <v>53996.320626000001</v>
      </c>
      <c r="Z13" s="117">
        <f>ROUND(東!K139*3/1000,0)</f>
        <v>39231</v>
      </c>
      <c r="AA13" s="151">
        <f t="shared" si="3"/>
        <v>151004.47495800001</v>
      </c>
      <c r="AB13" s="117">
        <f t="shared" si="3"/>
        <v>122401</v>
      </c>
      <c r="AC13" s="60">
        <v>53996.320626000001</v>
      </c>
      <c r="AD13" s="117">
        <f>ROUND(東!L139*3/1000,0)</f>
        <v>39043</v>
      </c>
      <c r="AE13" s="34">
        <v>53996.320626000001</v>
      </c>
      <c r="AF13" s="117">
        <f>ROUND(東!M139*3/1000,0)</f>
        <v>38742</v>
      </c>
      <c r="AG13" s="34">
        <v>55187.416266000007</v>
      </c>
      <c r="AH13" s="117">
        <f>ROUND(東!N139*3/1000,0)</f>
        <v>38253</v>
      </c>
      <c r="AI13" s="151">
        <f t="shared" si="4"/>
        <v>163180.05751800002</v>
      </c>
      <c r="AJ13" s="117">
        <f t="shared" si="4"/>
        <v>116038</v>
      </c>
      <c r="AK13" s="151">
        <f t="shared" si="5"/>
        <v>314184.53247600002</v>
      </c>
      <c r="AL13" s="117">
        <f t="shared" si="5"/>
        <v>238439</v>
      </c>
      <c r="AM13" s="129">
        <f t="shared" si="6"/>
        <v>562442.573232</v>
      </c>
      <c r="AN13" s="117">
        <f t="shared" si="7"/>
        <v>477011</v>
      </c>
    </row>
    <row r="14" spans="1:40" ht="20.25" customHeight="1" x14ac:dyDescent="0.15">
      <c r="A14" s="26"/>
      <c r="B14" s="27" t="s">
        <v>26</v>
      </c>
      <c r="C14" s="35">
        <v>544858.77250000008</v>
      </c>
      <c r="D14" s="118">
        <f>東!C133</f>
        <v>642690</v>
      </c>
      <c r="E14" s="35">
        <v>562858.9225000001</v>
      </c>
      <c r="F14" s="118">
        <f>東!D133</f>
        <v>675122</v>
      </c>
      <c r="G14" s="35">
        <v>598005.22250000003</v>
      </c>
      <c r="H14" s="118">
        <f>東!E133</f>
        <v>682630</v>
      </c>
      <c r="I14" s="152">
        <f t="shared" si="0"/>
        <v>1705722.9175000004</v>
      </c>
      <c r="J14" s="118">
        <f t="shared" si="0"/>
        <v>2000442</v>
      </c>
      <c r="K14" s="61">
        <v>652005.6725000001</v>
      </c>
      <c r="L14" s="118">
        <f>東!F133</f>
        <v>716591</v>
      </c>
      <c r="M14" s="35">
        <v>688005.97250000003</v>
      </c>
      <c r="N14" s="118">
        <f>東!G133</f>
        <v>749528</v>
      </c>
      <c r="O14" s="35">
        <v>706006.12250000006</v>
      </c>
      <c r="P14" s="118">
        <f>東!H133</f>
        <v>675124</v>
      </c>
      <c r="Q14" s="152">
        <f t="shared" si="1"/>
        <v>2046017.7675000001</v>
      </c>
      <c r="R14" s="118">
        <f t="shared" si="1"/>
        <v>2141243</v>
      </c>
      <c r="S14" s="152">
        <f t="shared" si="2"/>
        <v>3751740.6850000005</v>
      </c>
      <c r="T14" s="118">
        <f t="shared" si="2"/>
        <v>4141685</v>
      </c>
      <c r="U14" s="61">
        <v>724006.27250000008</v>
      </c>
      <c r="V14" s="118">
        <f>東!I133</f>
        <v>728871</v>
      </c>
      <c r="W14" s="35">
        <v>742006.4225000001</v>
      </c>
      <c r="X14" s="118">
        <f>東!J133</f>
        <v>722864</v>
      </c>
      <c r="Y14" s="35">
        <v>816006.57250000013</v>
      </c>
      <c r="Z14" s="118">
        <f>東!K133</f>
        <v>667581</v>
      </c>
      <c r="AA14" s="152">
        <f t="shared" si="3"/>
        <v>2282019.2675000005</v>
      </c>
      <c r="AB14" s="118">
        <f t="shared" si="3"/>
        <v>2119316</v>
      </c>
      <c r="AC14" s="61">
        <v>816006.57250000013</v>
      </c>
      <c r="AD14" s="118">
        <f>東!L133</f>
        <v>652244</v>
      </c>
      <c r="AE14" s="35">
        <v>816006.57250000013</v>
      </c>
      <c r="AF14" s="118">
        <f>東!M133</f>
        <v>653931</v>
      </c>
      <c r="AG14" s="35">
        <v>834006.72250000003</v>
      </c>
      <c r="AH14" s="118">
        <f>東!N133</f>
        <v>654576</v>
      </c>
      <c r="AI14" s="152">
        <f t="shared" si="4"/>
        <v>2466019.8675000002</v>
      </c>
      <c r="AJ14" s="118">
        <f t="shared" si="4"/>
        <v>1960751</v>
      </c>
      <c r="AK14" s="152">
        <f t="shared" si="5"/>
        <v>4748039.1350000007</v>
      </c>
      <c r="AL14" s="118">
        <f t="shared" si="5"/>
        <v>4080067</v>
      </c>
      <c r="AM14" s="130">
        <f t="shared" si="6"/>
        <v>8499779.8200000003</v>
      </c>
      <c r="AN14" s="118">
        <f t="shared" si="7"/>
        <v>8221752</v>
      </c>
    </row>
    <row r="15" spans="1:40" ht="20.25" customHeight="1" x14ac:dyDescent="0.15">
      <c r="A15" s="21" t="s">
        <v>77</v>
      </c>
      <c r="B15" s="22" t="s">
        <v>68</v>
      </c>
      <c r="C15" s="34">
        <v>0</v>
      </c>
      <c r="D15" s="4"/>
      <c r="E15" s="34">
        <v>0</v>
      </c>
      <c r="F15" s="4"/>
      <c r="G15" s="34">
        <v>0</v>
      </c>
      <c r="H15" s="4"/>
      <c r="I15" s="151">
        <f t="shared" si="0"/>
        <v>0</v>
      </c>
      <c r="J15" s="117">
        <f t="shared" si="0"/>
        <v>0</v>
      </c>
      <c r="K15" s="60">
        <v>0</v>
      </c>
      <c r="L15" s="4"/>
      <c r="M15" s="34">
        <v>0</v>
      </c>
      <c r="N15" s="4"/>
      <c r="O15" s="34">
        <v>0</v>
      </c>
      <c r="P15" s="4"/>
      <c r="Q15" s="151">
        <f t="shared" si="1"/>
        <v>0</v>
      </c>
      <c r="R15" s="117">
        <f t="shared" si="1"/>
        <v>0</v>
      </c>
      <c r="S15" s="151">
        <f t="shared" si="2"/>
        <v>0</v>
      </c>
      <c r="T15" s="117">
        <f t="shared" si="2"/>
        <v>0</v>
      </c>
      <c r="U15" s="60">
        <v>0</v>
      </c>
      <c r="V15" s="4"/>
      <c r="W15" s="34">
        <v>0</v>
      </c>
      <c r="X15" s="4"/>
      <c r="Y15" s="186">
        <v>0</v>
      </c>
      <c r="Z15" s="4"/>
      <c r="AA15" s="151">
        <f t="shared" si="3"/>
        <v>0</v>
      </c>
      <c r="AB15" s="117">
        <f t="shared" si="3"/>
        <v>0</v>
      </c>
      <c r="AC15" s="60">
        <v>0</v>
      </c>
      <c r="AD15" s="4"/>
      <c r="AE15" s="34">
        <v>0</v>
      </c>
      <c r="AF15" s="4"/>
      <c r="AG15" s="34">
        <v>0</v>
      </c>
      <c r="AH15" s="4"/>
      <c r="AI15" s="151">
        <f t="shared" si="4"/>
        <v>0</v>
      </c>
      <c r="AJ15" s="117">
        <f t="shared" si="4"/>
        <v>0</v>
      </c>
      <c r="AK15" s="151">
        <f t="shared" si="5"/>
        <v>0</v>
      </c>
      <c r="AL15" s="117">
        <f t="shared" si="5"/>
        <v>0</v>
      </c>
      <c r="AM15" s="129">
        <f t="shared" si="6"/>
        <v>0</v>
      </c>
      <c r="AN15" s="117">
        <f t="shared" si="7"/>
        <v>0</v>
      </c>
    </row>
    <row r="16" spans="1:40" ht="20.25" customHeight="1" x14ac:dyDescent="0.15">
      <c r="A16" s="21" t="s">
        <v>78</v>
      </c>
      <c r="B16" s="6" t="s">
        <v>69</v>
      </c>
      <c r="C16" s="34">
        <v>80000</v>
      </c>
      <c r="D16" s="4">
        <v>79400</v>
      </c>
      <c r="E16" s="34">
        <v>80000</v>
      </c>
      <c r="F16" s="4">
        <f>77812+10850</f>
        <v>88662</v>
      </c>
      <c r="G16" s="34">
        <v>80000</v>
      </c>
      <c r="H16" s="4">
        <f>76224+2880</f>
        <v>79104</v>
      </c>
      <c r="I16" s="151">
        <f t="shared" si="0"/>
        <v>240000</v>
      </c>
      <c r="J16" s="117">
        <f t="shared" si="0"/>
        <v>247166</v>
      </c>
      <c r="K16" s="60">
        <v>80000</v>
      </c>
      <c r="L16" s="4">
        <v>73048</v>
      </c>
      <c r="M16" s="34">
        <v>80000</v>
      </c>
      <c r="N16" s="4">
        <f>74636+2640</f>
        <v>77276</v>
      </c>
      <c r="O16" s="34">
        <v>80000</v>
      </c>
      <c r="P16" s="4">
        <v>76224</v>
      </c>
      <c r="Q16" s="151">
        <f t="shared" si="1"/>
        <v>240000</v>
      </c>
      <c r="R16" s="117">
        <f t="shared" si="1"/>
        <v>226548</v>
      </c>
      <c r="S16" s="151">
        <f t="shared" si="2"/>
        <v>480000</v>
      </c>
      <c r="T16" s="117">
        <f t="shared" si="2"/>
        <v>473714</v>
      </c>
      <c r="U16" s="60">
        <v>80000</v>
      </c>
      <c r="V16" s="4">
        <f>63008-30432</f>
        <v>32576</v>
      </c>
      <c r="W16" s="34">
        <v>80000</v>
      </c>
      <c r="X16" s="4">
        <v>64440</v>
      </c>
      <c r="Y16" s="186">
        <v>80000</v>
      </c>
      <c r="Z16" s="4">
        <v>61576</v>
      </c>
      <c r="AA16" s="151">
        <f t="shared" si="3"/>
        <v>240000</v>
      </c>
      <c r="AB16" s="117">
        <f t="shared" si="3"/>
        <v>158592</v>
      </c>
      <c r="AC16" s="60">
        <v>80000</v>
      </c>
      <c r="AD16" s="4">
        <v>61576</v>
      </c>
      <c r="AE16" s="34">
        <v>80000</v>
      </c>
      <c r="AF16" s="4">
        <v>60144</v>
      </c>
      <c r="AG16" s="34">
        <v>80000</v>
      </c>
      <c r="AH16" s="4">
        <v>60144</v>
      </c>
      <c r="AI16" s="151">
        <f t="shared" si="4"/>
        <v>240000</v>
      </c>
      <c r="AJ16" s="117">
        <f t="shared" si="4"/>
        <v>181864</v>
      </c>
      <c r="AK16" s="151">
        <f t="shared" si="5"/>
        <v>480000</v>
      </c>
      <c r="AL16" s="117">
        <f t="shared" si="5"/>
        <v>340456</v>
      </c>
      <c r="AM16" s="129">
        <f t="shared" si="6"/>
        <v>960000</v>
      </c>
      <c r="AN16" s="117">
        <f t="shared" si="7"/>
        <v>814170</v>
      </c>
    </row>
    <row r="17" spans="1:40" ht="20.25" customHeight="1" x14ac:dyDescent="0.15">
      <c r="A17" s="21" t="s">
        <v>79</v>
      </c>
      <c r="B17" s="6" t="s">
        <v>70</v>
      </c>
      <c r="C17" s="34">
        <v>45000</v>
      </c>
      <c r="D17" s="4">
        <v>1283</v>
      </c>
      <c r="E17" s="34">
        <v>0</v>
      </c>
      <c r="F17" s="4"/>
      <c r="G17" s="34">
        <v>0</v>
      </c>
      <c r="H17" s="4"/>
      <c r="I17" s="151">
        <f t="shared" si="0"/>
        <v>45000</v>
      </c>
      <c r="J17" s="117">
        <f t="shared" si="0"/>
        <v>1283</v>
      </c>
      <c r="K17" s="60">
        <v>0</v>
      </c>
      <c r="L17" s="4"/>
      <c r="M17" s="34">
        <v>0</v>
      </c>
      <c r="N17" s="4"/>
      <c r="O17" s="34">
        <v>60000</v>
      </c>
      <c r="P17" s="4"/>
      <c r="Q17" s="151">
        <f t="shared" si="1"/>
        <v>60000</v>
      </c>
      <c r="R17" s="117">
        <f t="shared" si="1"/>
        <v>0</v>
      </c>
      <c r="S17" s="151">
        <f t="shared" si="2"/>
        <v>105000</v>
      </c>
      <c r="T17" s="117">
        <f t="shared" si="2"/>
        <v>1283</v>
      </c>
      <c r="U17" s="60">
        <v>0</v>
      </c>
      <c r="V17" s="4"/>
      <c r="W17" s="34">
        <v>0</v>
      </c>
      <c r="X17" s="4"/>
      <c r="Y17" s="186">
        <v>0</v>
      </c>
      <c r="Z17" s="4"/>
      <c r="AA17" s="151">
        <f t="shared" si="3"/>
        <v>0</v>
      </c>
      <c r="AB17" s="117">
        <f t="shared" si="3"/>
        <v>0</v>
      </c>
      <c r="AC17" s="60">
        <v>60000</v>
      </c>
      <c r="AD17" s="4"/>
      <c r="AE17" s="34">
        <v>130000</v>
      </c>
      <c r="AF17" s="4"/>
      <c r="AG17" s="34">
        <v>50000</v>
      </c>
      <c r="AH17" s="4">
        <v>1970</v>
      </c>
      <c r="AI17" s="151">
        <f t="shared" si="4"/>
        <v>240000</v>
      </c>
      <c r="AJ17" s="117">
        <f t="shared" si="4"/>
        <v>1970</v>
      </c>
      <c r="AK17" s="151">
        <f t="shared" si="5"/>
        <v>240000</v>
      </c>
      <c r="AL17" s="117">
        <f t="shared" si="5"/>
        <v>1970</v>
      </c>
      <c r="AM17" s="129">
        <f t="shared" si="6"/>
        <v>345000</v>
      </c>
      <c r="AN17" s="117">
        <f t="shared" si="7"/>
        <v>3253</v>
      </c>
    </row>
    <row r="18" spans="1:40" ht="20.25" customHeight="1" x14ac:dyDescent="0.15">
      <c r="A18" s="23"/>
      <c r="B18" s="6" t="s">
        <v>187</v>
      </c>
      <c r="C18" s="34">
        <v>0</v>
      </c>
      <c r="D18" s="4">
        <v>18518</v>
      </c>
      <c r="E18" s="34">
        <v>0</v>
      </c>
      <c r="F18" s="4">
        <f>16518+6373+9518</f>
        <v>32409</v>
      </c>
      <c r="G18" s="34">
        <v>0</v>
      </c>
      <c r="H18" s="4">
        <f>14518+7910+3472</f>
        <v>25900</v>
      </c>
      <c r="I18" s="151">
        <f t="shared" si="0"/>
        <v>0</v>
      </c>
      <c r="J18" s="117">
        <f t="shared" si="0"/>
        <v>76827</v>
      </c>
      <c r="K18" s="60">
        <v>0</v>
      </c>
      <c r="L18" s="4"/>
      <c r="M18" s="34">
        <v>0</v>
      </c>
      <c r="N18" s="4"/>
      <c r="O18" s="34">
        <v>0</v>
      </c>
      <c r="P18" s="4"/>
      <c r="Q18" s="151">
        <f t="shared" si="1"/>
        <v>0</v>
      </c>
      <c r="R18" s="117">
        <f t="shared" si="1"/>
        <v>0</v>
      </c>
      <c r="S18" s="151">
        <f t="shared" si="2"/>
        <v>0</v>
      </c>
      <c r="T18" s="117">
        <f>J18+R18</f>
        <v>76827</v>
      </c>
      <c r="U18" s="60">
        <v>0</v>
      </c>
      <c r="V18" s="4"/>
      <c r="W18" s="34">
        <v>0</v>
      </c>
      <c r="X18" s="4"/>
      <c r="Y18" s="186">
        <v>0</v>
      </c>
      <c r="Z18" s="4">
        <v>-7910</v>
      </c>
      <c r="AA18" s="151">
        <f t="shared" si="3"/>
        <v>0</v>
      </c>
      <c r="AB18" s="117">
        <f t="shared" si="3"/>
        <v>-7910</v>
      </c>
      <c r="AC18" s="60">
        <v>0</v>
      </c>
      <c r="AD18" s="4">
        <f>6518+75490</f>
        <v>82008</v>
      </c>
      <c r="AE18" s="34">
        <v>0</v>
      </c>
      <c r="AF18" s="4"/>
      <c r="AG18" s="34">
        <v>0</v>
      </c>
      <c r="AH18" s="4">
        <f>45842+10472</f>
        <v>56314</v>
      </c>
      <c r="AI18" s="151">
        <f t="shared" si="4"/>
        <v>0</v>
      </c>
      <c r="AJ18" s="117">
        <f t="shared" si="4"/>
        <v>138322</v>
      </c>
      <c r="AK18" s="151">
        <f t="shared" si="5"/>
        <v>0</v>
      </c>
      <c r="AL18" s="117">
        <f t="shared" si="5"/>
        <v>130412</v>
      </c>
      <c r="AM18" s="129">
        <f t="shared" si="6"/>
        <v>0</v>
      </c>
      <c r="AN18" s="117">
        <f t="shared" si="7"/>
        <v>207239</v>
      </c>
    </row>
    <row r="19" spans="1:40" ht="20.25" customHeight="1" thickBot="1" x14ac:dyDescent="0.2">
      <c r="A19" s="23"/>
      <c r="B19" s="6" t="s">
        <v>72</v>
      </c>
      <c r="C19" s="34">
        <v>0</v>
      </c>
      <c r="D19" s="4"/>
      <c r="E19" s="34">
        <v>0</v>
      </c>
      <c r="F19" s="4">
        <f>1805+3557</f>
        <v>5362</v>
      </c>
      <c r="G19" s="34">
        <v>0</v>
      </c>
      <c r="H19" s="4">
        <v>1000</v>
      </c>
      <c r="I19" s="151">
        <f t="shared" si="0"/>
        <v>0</v>
      </c>
      <c r="J19" s="117">
        <f t="shared" si="0"/>
        <v>6362</v>
      </c>
      <c r="K19" s="60">
        <v>0</v>
      </c>
      <c r="L19" s="4">
        <v>10000</v>
      </c>
      <c r="M19" s="34">
        <v>0</v>
      </c>
      <c r="N19" s="4">
        <v>2840</v>
      </c>
      <c r="O19" s="34">
        <v>0</v>
      </c>
      <c r="P19" s="4"/>
      <c r="Q19" s="151">
        <f t="shared" si="1"/>
        <v>0</v>
      </c>
      <c r="R19" s="117">
        <f t="shared" si="1"/>
        <v>12840</v>
      </c>
      <c r="S19" s="151">
        <f t="shared" si="2"/>
        <v>0</v>
      </c>
      <c r="T19" s="117">
        <f t="shared" si="2"/>
        <v>19202</v>
      </c>
      <c r="U19" s="60">
        <v>0</v>
      </c>
      <c r="V19" s="4"/>
      <c r="W19" s="34">
        <v>0</v>
      </c>
      <c r="X19" s="89">
        <v>2371</v>
      </c>
      <c r="Y19" s="186">
        <v>0</v>
      </c>
      <c r="Z19" s="89">
        <v>1820</v>
      </c>
      <c r="AA19" s="151">
        <f t="shared" si="3"/>
        <v>0</v>
      </c>
      <c r="AB19" s="117">
        <f t="shared" si="3"/>
        <v>4191</v>
      </c>
      <c r="AC19" s="60">
        <v>0</v>
      </c>
      <c r="AD19" s="4"/>
      <c r="AE19" s="34">
        <v>0</v>
      </c>
      <c r="AF19" s="4"/>
      <c r="AG19" s="34">
        <v>0</v>
      </c>
      <c r="AH19" s="4"/>
      <c r="AI19" s="151">
        <f t="shared" si="4"/>
        <v>0</v>
      </c>
      <c r="AJ19" s="117">
        <f t="shared" si="4"/>
        <v>0</v>
      </c>
      <c r="AK19" s="151">
        <f t="shared" si="5"/>
        <v>0</v>
      </c>
      <c r="AL19" s="117">
        <f t="shared" si="5"/>
        <v>4191</v>
      </c>
      <c r="AM19" s="129">
        <f t="shared" si="6"/>
        <v>0</v>
      </c>
      <c r="AN19" s="117">
        <f t="shared" si="7"/>
        <v>23393</v>
      </c>
    </row>
    <row r="20" spans="1:40" ht="20.25" customHeight="1" thickTop="1" thickBot="1" x14ac:dyDescent="0.2">
      <c r="A20" s="24"/>
      <c r="B20" s="7" t="s">
        <v>27</v>
      </c>
      <c r="C20" s="36">
        <f>SUM(C6:C19)</f>
        <v>15692393.499999998</v>
      </c>
      <c r="D20" s="8">
        <f t="shared" ref="D20:AL20" si="8">SUM(D6:D19)</f>
        <v>13952132</v>
      </c>
      <c r="E20" s="36">
        <f t="shared" si="8"/>
        <v>16161683.5</v>
      </c>
      <c r="F20" s="8">
        <f t="shared" si="8"/>
        <v>15395703</v>
      </c>
      <c r="G20" s="36">
        <f t="shared" si="8"/>
        <v>17165863.5</v>
      </c>
      <c r="H20" s="8">
        <f t="shared" si="8"/>
        <v>15004996</v>
      </c>
      <c r="I20" s="36">
        <f t="shared" si="8"/>
        <v>49019940.5</v>
      </c>
      <c r="J20" s="8">
        <f t="shared" si="8"/>
        <v>44352831</v>
      </c>
      <c r="K20" s="62">
        <f t="shared" si="8"/>
        <v>18708733.500000004</v>
      </c>
      <c r="L20" s="8">
        <f t="shared" si="8"/>
        <v>14831599</v>
      </c>
      <c r="M20" s="36">
        <f t="shared" si="8"/>
        <v>19737313.5</v>
      </c>
      <c r="N20" s="8">
        <f t="shared" si="8"/>
        <v>15701165</v>
      </c>
      <c r="O20" s="36">
        <f t="shared" si="8"/>
        <v>20311603.500000004</v>
      </c>
      <c r="P20" s="8">
        <f t="shared" si="8"/>
        <v>15439453</v>
      </c>
      <c r="Q20" s="36">
        <f t="shared" si="8"/>
        <v>58757650.500000015</v>
      </c>
      <c r="R20" s="8">
        <f t="shared" si="8"/>
        <v>45972217</v>
      </c>
      <c r="S20" s="36">
        <f t="shared" si="8"/>
        <v>107777591.00000003</v>
      </c>
      <c r="T20" s="8">
        <f t="shared" si="8"/>
        <v>90325048</v>
      </c>
      <c r="U20" s="62">
        <f t="shared" si="8"/>
        <v>20765893.5</v>
      </c>
      <c r="V20" s="8">
        <f t="shared" si="8"/>
        <v>15730404</v>
      </c>
      <c r="W20" s="36">
        <f t="shared" si="8"/>
        <v>21280183.5</v>
      </c>
      <c r="X20" s="8">
        <f t="shared" si="8"/>
        <v>15561223</v>
      </c>
      <c r="Y20" s="36">
        <f t="shared" si="8"/>
        <v>23394473.5</v>
      </c>
      <c r="Z20" s="8">
        <f t="shared" si="8"/>
        <v>14656663</v>
      </c>
      <c r="AA20" s="36">
        <f t="shared" si="8"/>
        <v>65440550.499999993</v>
      </c>
      <c r="AB20" s="8">
        <f t="shared" si="8"/>
        <v>45948290</v>
      </c>
      <c r="AC20" s="62">
        <f t="shared" si="8"/>
        <v>23454473.5</v>
      </c>
      <c r="AD20" s="8">
        <f t="shared" si="8"/>
        <v>14780274</v>
      </c>
      <c r="AE20" s="36">
        <f t="shared" si="8"/>
        <v>23524473.5</v>
      </c>
      <c r="AF20" s="8">
        <f t="shared" si="8"/>
        <v>14532550</v>
      </c>
      <c r="AG20" s="36">
        <f t="shared" si="8"/>
        <v>23958763.500000004</v>
      </c>
      <c r="AH20" s="8">
        <f t="shared" si="8"/>
        <v>14430390</v>
      </c>
      <c r="AI20" s="36">
        <f t="shared" si="8"/>
        <v>70937710.5</v>
      </c>
      <c r="AJ20" s="8">
        <f t="shared" si="8"/>
        <v>43743214</v>
      </c>
      <c r="AK20" s="36">
        <f t="shared" si="8"/>
        <v>136378260.99999997</v>
      </c>
      <c r="AL20" s="8">
        <f t="shared" si="8"/>
        <v>89691504</v>
      </c>
      <c r="AM20" s="62">
        <f t="shared" si="6"/>
        <v>244155852</v>
      </c>
      <c r="AN20" s="8">
        <f t="shared" si="7"/>
        <v>180016552</v>
      </c>
    </row>
    <row r="21" spans="1:40" ht="20.25" customHeight="1" x14ac:dyDescent="0.15">
      <c r="A21" s="218" t="s">
        <v>28</v>
      </c>
      <c r="B21" s="219"/>
      <c r="C21" s="37">
        <f>C5-C20</f>
        <v>4238741.5000000019</v>
      </c>
      <c r="D21" s="9">
        <f t="shared" ref="D21:AL21" si="9">D5-D20</f>
        <v>4772184</v>
      </c>
      <c r="E21" s="37">
        <f t="shared" si="9"/>
        <v>4420451.5</v>
      </c>
      <c r="F21" s="9">
        <f t="shared" si="9"/>
        <v>5304340</v>
      </c>
      <c r="G21" s="37">
        <f t="shared" si="9"/>
        <v>4666271.5</v>
      </c>
      <c r="H21" s="9">
        <f t="shared" si="9"/>
        <v>5062990</v>
      </c>
      <c r="I21" s="37">
        <f t="shared" si="9"/>
        <v>13325464.5</v>
      </c>
      <c r="J21" s="9">
        <f t="shared" si="9"/>
        <v>15139514</v>
      </c>
      <c r="K21" s="63">
        <f t="shared" si="9"/>
        <v>5076401.4999999963</v>
      </c>
      <c r="L21" s="9">
        <f t="shared" si="9"/>
        <v>4982623</v>
      </c>
      <c r="M21" s="37">
        <f t="shared" si="9"/>
        <v>5349821.5</v>
      </c>
      <c r="N21" s="9">
        <f t="shared" si="9"/>
        <v>3994846</v>
      </c>
      <c r="O21" s="37">
        <f t="shared" si="9"/>
        <v>5426531.4999999963</v>
      </c>
      <c r="P21" s="9">
        <f t="shared" si="9"/>
        <v>4362091</v>
      </c>
      <c r="Q21" s="37">
        <f t="shared" si="9"/>
        <v>15852754.499999985</v>
      </c>
      <c r="R21" s="9">
        <f t="shared" si="9"/>
        <v>13339560</v>
      </c>
      <c r="S21" s="37">
        <f t="shared" si="9"/>
        <v>29178218.99999997</v>
      </c>
      <c r="T21" s="9">
        <f t="shared" si="9"/>
        <v>28479074</v>
      </c>
      <c r="U21" s="63">
        <f t="shared" si="9"/>
        <v>5623241.5</v>
      </c>
      <c r="V21" s="9">
        <f t="shared" si="9"/>
        <v>4666914</v>
      </c>
      <c r="W21" s="37">
        <f t="shared" si="9"/>
        <v>5759951.5</v>
      </c>
      <c r="X21" s="9">
        <f t="shared" si="9"/>
        <v>5653171</v>
      </c>
      <c r="Y21" s="37">
        <f t="shared" si="9"/>
        <v>6296661.5</v>
      </c>
      <c r="Z21" s="9">
        <f t="shared" si="9"/>
        <v>5372231</v>
      </c>
      <c r="AA21" s="37">
        <f t="shared" si="9"/>
        <v>17679854.500000007</v>
      </c>
      <c r="AB21" s="9">
        <f t="shared" si="9"/>
        <v>15692316</v>
      </c>
      <c r="AC21" s="63">
        <f t="shared" si="9"/>
        <v>6236661.5</v>
      </c>
      <c r="AD21" s="9">
        <f t="shared" si="9"/>
        <v>5284725</v>
      </c>
      <c r="AE21" s="37">
        <f t="shared" si="9"/>
        <v>6166661.5</v>
      </c>
      <c r="AF21" s="9">
        <f t="shared" si="9"/>
        <v>5096342</v>
      </c>
      <c r="AG21" s="37">
        <f t="shared" si="9"/>
        <v>6383371.4999999963</v>
      </c>
      <c r="AH21" s="9">
        <f>AH5-AH20</f>
        <v>5217858</v>
      </c>
      <c r="AI21" s="37">
        <f t="shared" si="9"/>
        <v>18786694.5</v>
      </c>
      <c r="AJ21" s="9">
        <f t="shared" si="9"/>
        <v>15598925</v>
      </c>
      <c r="AK21" s="37">
        <f t="shared" si="9"/>
        <v>36466549.00000003</v>
      </c>
      <c r="AL21" s="9">
        <f t="shared" si="9"/>
        <v>31291241</v>
      </c>
      <c r="AM21" s="63">
        <f t="shared" si="6"/>
        <v>65644768</v>
      </c>
      <c r="AN21" s="9">
        <f t="shared" si="7"/>
        <v>59770315</v>
      </c>
    </row>
    <row r="22" spans="1:40" s="11" customFormat="1" ht="20.25" customHeight="1" thickBot="1" x14ac:dyDescent="0.2">
      <c r="A22" s="210" t="s">
        <v>29</v>
      </c>
      <c r="B22" s="211"/>
      <c r="C22" s="38">
        <f>IF(C5=0,"        ―",C21/C5)</f>
        <v>0.21266934873503199</v>
      </c>
      <c r="D22" s="10">
        <f t="shared" ref="D22:AN22" si="10">IF(D5=0,"        ―",D21/D5)</f>
        <v>0.25486559829475214</v>
      </c>
      <c r="E22" s="38">
        <f t="shared" si="10"/>
        <v>0.2147712810162794</v>
      </c>
      <c r="F22" s="10">
        <f t="shared" si="10"/>
        <v>0.25624777687659878</v>
      </c>
      <c r="G22" s="38">
        <f t="shared" si="10"/>
        <v>0.21373408968018931</v>
      </c>
      <c r="H22" s="10">
        <f>IF(H5=0,"        ―",H21/H5)</f>
        <v>0.2522918841980456</v>
      </c>
      <c r="I22" s="38">
        <f t="shared" si="10"/>
        <v>0.21373611254911248</v>
      </c>
      <c r="J22" s="10">
        <f t="shared" si="10"/>
        <v>0.25447835347556058</v>
      </c>
      <c r="K22" s="64">
        <f t="shared" si="10"/>
        <v>0.21342748317383931</v>
      </c>
      <c r="L22" s="10">
        <f t="shared" si="10"/>
        <v>0.2514670018333296</v>
      </c>
      <c r="M22" s="38">
        <f t="shared" si="10"/>
        <v>0.21324959984470127</v>
      </c>
      <c r="N22" s="10">
        <f t="shared" si="10"/>
        <v>0.20282513042869441</v>
      </c>
      <c r="O22" s="38">
        <f t="shared" si="10"/>
        <v>0.21083623580340985</v>
      </c>
      <c r="P22" s="10">
        <f t="shared" si="10"/>
        <v>0.22029044805798983</v>
      </c>
      <c r="Q22" s="38">
        <f t="shared" si="10"/>
        <v>0.21247377627825481</v>
      </c>
      <c r="R22" s="10">
        <f t="shared" si="10"/>
        <v>0.2249057552263187</v>
      </c>
      <c r="S22" s="38">
        <f t="shared" si="10"/>
        <v>0.21304842050877557</v>
      </c>
      <c r="T22" s="10">
        <f t="shared" si="10"/>
        <v>0.23971452775013985</v>
      </c>
      <c r="U22" s="64">
        <f t="shared" si="10"/>
        <v>0.21308926950428653</v>
      </c>
      <c r="V22" s="10">
        <f t="shared" si="10"/>
        <v>0.22880037463748912</v>
      </c>
      <c r="W22" s="38">
        <f t="shared" si="10"/>
        <v>0.21301489434131893</v>
      </c>
      <c r="X22" s="10">
        <f t="shared" si="10"/>
        <v>0.26647808087282626</v>
      </c>
      <c r="Y22" s="38">
        <f t="shared" si="10"/>
        <v>0.21207210502394064</v>
      </c>
      <c r="Z22" s="10">
        <f t="shared" si="10"/>
        <v>0.26822404671970407</v>
      </c>
      <c r="AA22" s="38">
        <f t="shared" si="10"/>
        <v>0.21270173671555145</v>
      </c>
      <c r="AB22" s="10">
        <f t="shared" si="10"/>
        <v>0.2545775750484997</v>
      </c>
      <c r="AC22" s="64">
        <f t="shared" si="10"/>
        <v>0.21005129982400469</v>
      </c>
      <c r="AD22" s="10">
        <f t="shared" si="10"/>
        <v>0.2633802772678932</v>
      </c>
      <c r="AE22" s="38">
        <f t="shared" si="10"/>
        <v>0.20769369375741278</v>
      </c>
      <c r="AF22" s="10">
        <f t="shared" si="10"/>
        <v>0.2596347261985037</v>
      </c>
      <c r="AG22" s="38">
        <f t="shared" si="10"/>
        <v>0.21037977386891188</v>
      </c>
      <c r="AH22" s="10">
        <f t="shared" si="10"/>
        <v>0.26556352505322611</v>
      </c>
      <c r="AI22" s="38">
        <f t="shared" si="10"/>
        <v>0.20938221323395792</v>
      </c>
      <c r="AJ22" s="10">
        <f t="shared" si="10"/>
        <v>0.26286421862885662</v>
      </c>
      <c r="AK22" s="38">
        <f t="shared" si="10"/>
        <v>0.21097855932150944</v>
      </c>
      <c r="AL22" s="10">
        <f t="shared" si="10"/>
        <v>0.25864218075065165</v>
      </c>
      <c r="AM22" s="64">
        <f>IF(AM5=0,"        ―",AM21/AM5)</f>
        <v>0.21189359788886156</v>
      </c>
      <c r="AN22" s="10">
        <f t="shared" si="10"/>
        <v>0.24926433940187392</v>
      </c>
    </row>
    <row r="23" spans="1:40" ht="20.25" customHeight="1" x14ac:dyDescent="0.15">
      <c r="A23" s="25" t="s">
        <v>30</v>
      </c>
      <c r="B23" s="3" t="s">
        <v>31</v>
      </c>
      <c r="C23" s="34">
        <v>1300000</v>
      </c>
      <c r="D23" s="4">
        <v>1270000</v>
      </c>
      <c r="E23" s="34">
        <v>1300000</v>
      </c>
      <c r="F23" s="4">
        <v>1270000</v>
      </c>
      <c r="G23" s="34">
        <v>1300000</v>
      </c>
      <c r="H23" s="4">
        <v>1270000</v>
      </c>
      <c r="I23" s="151"/>
      <c r="J23" s="117">
        <f t="shared" ref="J23:J31" si="11">D23+F23+H23</f>
        <v>3810000</v>
      </c>
      <c r="K23" s="60">
        <v>1300000</v>
      </c>
      <c r="L23" s="4">
        <v>1300000</v>
      </c>
      <c r="M23" s="34">
        <v>1300000</v>
      </c>
      <c r="N23" s="4">
        <v>1747500</v>
      </c>
      <c r="O23" s="34">
        <v>1300000</v>
      </c>
      <c r="P23" s="4">
        <v>1760000</v>
      </c>
      <c r="Q23" s="151"/>
      <c r="R23" s="117">
        <f t="shared" ref="R23:R31" si="12">L23+N23+P23</f>
        <v>4807500</v>
      </c>
      <c r="S23" s="151"/>
      <c r="T23" s="117">
        <f t="shared" ref="T23:T31" si="13">J23+R23</f>
        <v>8617500</v>
      </c>
      <c r="U23" s="60">
        <v>1300000</v>
      </c>
      <c r="V23" s="46">
        <v>1760000</v>
      </c>
      <c r="W23" s="34">
        <v>1300000</v>
      </c>
      <c r="X23" s="4">
        <v>1760000</v>
      </c>
      <c r="Y23" s="34">
        <v>1300000</v>
      </c>
      <c r="Z23" s="4">
        <v>1760000</v>
      </c>
      <c r="AA23" s="151"/>
      <c r="AB23" s="117">
        <f t="shared" ref="AB23:AB31" si="14">V23+X23+Z23</f>
        <v>5280000</v>
      </c>
      <c r="AC23" s="60">
        <v>1300000</v>
      </c>
      <c r="AD23" s="4">
        <v>1760000</v>
      </c>
      <c r="AE23" s="34">
        <v>1300000</v>
      </c>
      <c r="AF23" s="4">
        <v>1760000</v>
      </c>
      <c r="AG23" s="34">
        <v>1300000</v>
      </c>
      <c r="AH23" s="4">
        <v>1806960</v>
      </c>
      <c r="AI23" s="151">
        <f>AC23+AE23+AG23</f>
        <v>3900000</v>
      </c>
      <c r="AJ23" s="117">
        <f>AD23+AF23+AH23</f>
        <v>5326960</v>
      </c>
      <c r="AK23" s="151">
        <f>AA23+AI23</f>
        <v>3900000</v>
      </c>
      <c r="AL23" s="117">
        <f>AB23+AJ23</f>
        <v>10606960</v>
      </c>
      <c r="AM23" s="63">
        <f t="shared" si="6"/>
        <v>15600000</v>
      </c>
      <c r="AN23" s="117">
        <f>SUM(D23,F23,H23,L23,N23,P23,V23,X23,Z23,AD23,AF23,AH23)</f>
        <v>19224460</v>
      </c>
    </row>
    <row r="24" spans="1:40" ht="20.25" customHeight="1" x14ac:dyDescent="0.15">
      <c r="A24" s="21" t="s">
        <v>80</v>
      </c>
      <c r="B24" s="5" t="s">
        <v>32</v>
      </c>
      <c r="C24" s="34">
        <v>0</v>
      </c>
      <c r="D24" s="4">
        <v>0</v>
      </c>
      <c r="E24" s="34">
        <v>0</v>
      </c>
      <c r="F24" s="4">
        <v>0</v>
      </c>
      <c r="G24" s="34">
        <v>0</v>
      </c>
      <c r="H24" s="4">
        <v>0</v>
      </c>
      <c r="I24" s="151"/>
      <c r="J24" s="117">
        <f t="shared" si="11"/>
        <v>0</v>
      </c>
      <c r="K24" s="60">
        <v>0</v>
      </c>
      <c r="L24" s="4">
        <v>0</v>
      </c>
      <c r="M24" s="34">
        <v>0</v>
      </c>
      <c r="N24" s="4">
        <v>0</v>
      </c>
      <c r="O24" s="34">
        <v>0</v>
      </c>
      <c r="P24" s="4">
        <v>0</v>
      </c>
      <c r="Q24" s="151"/>
      <c r="R24" s="117">
        <f t="shared" si="12"/>
        <v>0</v>
      </c>
      <c r="S24" s="151"/>
      <c r="T24" s="117">
        <f t="shared" si="13"/>
        <v>0</v>
      </c>
      <c r="U24" s="60">
        <v>0</v>
      </c>
      <c r="V24" s="46">
        <v>0</v>
      </c>
      <c r="W24" s="34">
        <v>0</v>
      </c>
      <c r="X24" s="4">
        <v>0</v>
      </c>
      <c r="Y24" s="34">
        <v>0</v>
      </c>
      <c r="Z24" s="4">
        <v>0</v>
      </c>
      <c r="AA24" s="151"/>
      <c r="AB24" s="117">
        <f t="shared" si="14"/>
        <v>0</v>
      </c>
      <c r="AC24" s="60">
        <v>0</v>
      </c>
      <c r="AD24" s="4">
        <v>0</v>
      </c>
      <c r="AE24" s="34">
        <v>0</v>
      </c>
      <c r="AF24" s="4">
        <v>0</v>
      </c>
      <c r="AG24" s="34">
        <v>0</v>
      </c>
      <c r="AH24" s="4">
        <v>0</v>
      </c>
      <c r="AI24" s="151">
        <f t="shared" ref="AI24:AJ31" si="15">AC24+AE24+AG24</f>
        <v>0</v>
      </c>
      <c r="AJ24" s="117">
        <f t="shared" si="15"/>
        <v>0</v>
      </c>
      <c r="AK24" s="151">
        <f t="shared" ref="AK24:AL31" si="16">AA24+AI24</f>
        <v>0</v>
      </c>
      <c r="AL24" s="117">
        <f t="shared" si="16"/>
        <v>0</v>
      </c>
      <c r="AM24" s="129">
        <f t="shared" si="6"/>
        <v>0</v>
      </c>
      <c r="AN24" s="117">
        <f t="shared" si="7"/>
        <v>0</v>
      </c>
    </row>
    <row r="25" spans="1:40" ht="20.25" customHeight="1" x14ac:dyDescent="0.15">
      <c r="A25" s="23"/>
      <c r="B25" s="5" t="s">
        <v>33</v>
      </c>
      <c r="C25" s="34">
        <v>0</v>
      </c>
      <c r="D25" s="4">
        <v>0</v>
      </c>
      <c r="E25" s="34">
        <v>0</v>
      </c>
      <c r="F25" s="4">
        <v>0</v>
      </c>
      <c r="G25" s="34">
        <v>0</v>
      </c>
      <c r="H25" s="4">
        <v>0</v>
      </c>
      <c r="I25" s="151"/>
      <c r="J25" s="117">
        <f t="shared" si="11"/>
        <v>0</v>
      </c>
      <c r="K25" s="60">
        <v>0</v>
      </c>
      <c r="L25" s="4">
        <v>0</v>
      </c>
      <c r="M25" s="34">
        <v>0</v>
      </c>
      <c r="N25" s="4">
        <v>0</v>
      </c>
      <c r="O25" s="34">
        <v>0</v>
      </c>
      <c r="P25" s="4">
        <v>0</v>
      </c>
      <c r="Q25" s="151"/>
      <c r="R25" s="117">
        <f t="shared" si="12"/>
        <v>0</v>
      </c>
      <c r="S25" s="151"/>
      <c r="T25" s="117">
        <f t="shared" si="13"/>
        <v>0</v>
      </c>
      <c r="U25" s="60">
        <v>0</v>
      </c>
      <c r="V25" s="46">
        <v>0</v>
      </c>
      <c r="W25" s="34">
        <v>0</v>
      </c>
      <c r="X25" s="4">
        <v>0</v>
      </c>
      <c r="Y25" s="34">
        <v>0</v>
      </c>
      <c r="Z25" s="4">
        <v>0</v>
      </c>
      <c r="AA25" s="151"/>
      <c r="AB25" s="117">
        <f t="shared" si="14"/>
        <v>0</v>
      </c>
      <c r="AC25" s="60">
        <v>0</v>
      </c>
      <c r="AD25" s="4">
        <v>0</v>
      </c>
      <c r="AE25" s="34">
        <v>0</v>
      </c>
      <c r="AF25" s="4">
        <v>1900000</v>
      </c>
      <c r="AG25" s="34">
        <v>0</v>
      </c>
      <c r="AH25" s="4">
        <v>0</v>
      </c>
      <c r="AI25" s="151">
        <f t="shared" si="15"/>
        <v>0</v>
      </c>
      <c r="AJ25" s="117">
        <f t="shared" si="15"/>
        <v>1900000</v>
      </c>
      <c r="AK25" s="151">
        <f t="shared" si="16"/>
        <v>0</v>
      </c>
      <c r="AL25" s="117">
        <f t="shared" si="16"/>
        <v>1900000</v>
      </c>
      <c r="AM25" s="129">
        <f t="shared" si="6"/>
        <v>0</v>
      </c>
      <c r="AN25" s="117">
        <f t="shared" si="7"/>
        <v>1900000</v>
      </c>
    </row>
    <row r="26" spans="1:40" ht="20.25" customHeight="1" x14ac:dyDescent="0.15">
      <c r="A26" s="23"/>
      <c r="B26" s="5" t="s">
        <v>22</v>
      </c>
      <c r="C26" s="34">
        <v>70000</v>
      </c>
      <c r="D26" s="4">
        <v>68428</v>
      </c>
      <c r="E26" s="34">
        <v>70000</v>
      </c>
      <c r="F26" s="4">
        <v>67963</v>
      </c>
      <c r="G26" s="34">
        <v>70000</v>
      </c>
      <c r="H26" s="4">
        <v>67963</v>
      </c>
      <c r="I26" s="151"/>
      <c r="J26" s="117">
        <f t="shared" si="11"/>
        <v>204354</v>
      </c>
      <c r="K26" s="60">
        <v>70000</v>
      </c>
      <c r="L26" s="4">
        <v>67963</v>
      </c>
      <c r="M26" s="34">
        <v>70000</v>
      </c>
      <c r="N26" s="4">
        <v>91980</v>
      </c>
      <c r="O26" s="34">
        <v>70000</v>
      </c>
      <c r="P26" s="4">
        <v>91980</v>
      </c>
      <c r="Q26" s="151"/>
      <c r="R26" s="117">
        <f t="shared" si="12"/>
        <v>251923</v>
      </c>
      <c r="S26" s="151"/>
      <c r="T26" s="117">
        <f t="shared" si="13"/>
        <v>456277</v>
      </c>
      <c r="U26" s="60">
        <v>70000</v>
      </c>
      <c r="V26" s="46">
        <v>91980</v>
      </c>
      <c r="W26" s="34">
        <v>70000</v>
      </c>
      <c r="X26" s="4">
        <v>93002</v>
      </c>
      <c r="Y26" s="34">
        <v>70000</v>
      </c>
      <c r="Z26" s="4">
        <v>93002</v>
      </c>
      <c r="AA26" s="151"/>
      <c r="AB26" s="117">
        <f t="shared" si="14"/>
        <v>277984</v>
      </c>
      <c r="AC26" s="60">
        <v>70000</v>
      </c>
      <c r="AD26" s="4">
        <v>93002</v>
      </c>
      <c r="AE26" s="34">
        <v>70000</v>
      </c>
      <c r="AF26" s="4">
        <v>93002</v>
      </c>
      <c r="AG26" s="34">
        <v>70000</v>
      </c>
      <c r="AH26" s="4">
        <v>118552</v>
      </c>
      <c r="AI26" s="151">
        <f t="shared" si="15"/>
        <v>210000</v>
      </c>
      <c r="AJ26" s="117">
        <f t="shared" si="15"/>
        <v>304556</v>
      </c>
      <c r="AK26" s="151">
        <f t="shared" si="16"/>
        <v>210000</v>
      </c>
      <c r="AL26" s="117">
        <f t="shared" si="16"/>
        <v>582540</v>
      </c>
      <c r="AM26" s="129">
        <f t="shared" si="6"/>
        <v>840000</v>
      </c>
      <c r="AN26" s="117">
        <f t="shared" si="7"/>
        <v>1038817</v>
      </c>
    </row>
    <row r="27" spans="1:40" ht="20.25" customHeight="1" x14ac:dyDescent="0.15">
      <c r="A27" s="23"/>
      <c r="B27" s="5" t="s">
        <v>67</v>
      </c>
      <c r="C27" s="34">
        <v>12000</v>
      </c>
      <c r="D27" s="4">
        <v>11970</v>
      </c>
      <c r="E27" s="34">
        <v>12000</v>
      </c>
      <c r="F27" s="4">
        <v>10906</v>
      </c>
      <c r="G27" s="34">
        <v>12000</v>
      </c>
      <c r="H27" s="4">
        <v>10906</v>
      </c>
      <c r="I27" s="151"/>
      <c r="J27" s="117">
        <f t="shared" si="11"/>
        <v>33782</v>
      </c>
      <c r="K27" s="60">
        <v>12000</v>
      </c>
      <c r="L27" s="4">
        <v>10906</v>
      </c>
      <c r="M27" s="34">
        <v>12000</v>
      </c>
      <c r="N27" s="4">
        <v>14760</v>
      </c>
      <c r="O27" s="34">
        <v>12000</v>
      </c>
      <c r="P27" s="4">
        <v>14760</v>
      </c>
      <c r="Q27" s="151"/>
      <c r="R27" s="117">
        <f t="shared" si="12"/>
        <v>40426</v>
      </c>
      <c r="S27" s="151"/>
      <c r="T27" s="117">
        <f t="shared" si="13"/>
        <v>74208</v>
      </c>
      <c r="U27" s="60">
        <v>12000</v>
      </c>
      <c r="V27" s="46">
        <v>14760</v>
      </c>
      <c r="W27" s="34">
        <v>12000</v>
      </c>
      <c r="X27" s="4">
        <v>14924</v>
      </c>
      <c r="Y27" s="34">
        <v>12000</v>
      </c>
      <c r="Z27" s="4">
        <v>14924</v>
      </c>
      <c r="AA27" s="151"/>
      <c r="AB27" s="117">
        <f t="shared" si="14"/>
        <v>44608</v>
      </c>
      <c r="AC27" s="60">
        <v>12000</v>
      </c>
      <c r="AD27" s="4">
        <v>14924</v>
      </c>
      <c r="AE27" s="34">
        <v>12000</v>
      </c>
      <c r="AF27" s="4">
        <v>14924</v>
      </c>
      <c r="AG27" s="34">
        <v>12000</v>
      </c>
      <c r="AH27" s="4">
        <v>19024</v>
      </c>
      <c r="AI27" s="151">
        <f t="shared" si="15"/>
        <v>36000</v>
      </c>
      <c r="AJ27" s="117">
        <f t="shared" si="15"/>
        <v>48872</v>
      </c>
      <c r="AK27" s="151">
        <f t="shared" si="16"/>
        <v>36000</v>
      </c>
      <c r="AL27" s="117">
        <f t="shared" si="16"/>
        <v>93480</v>
      </c>
      <c r="AM27" s="129">
        <f t="shared" si="6"/>
        <v>144000</v>
      </c>
      <c r="AN27" s="117">
        <f t="shared" si="7"/>
        <v>167688</v>
      </c>
    </row>
    <row r="28" spans="1:40" ht="20.25" customHeight="1" x14ac:dyDescent="0.15">
      <c r="A28" s="23"/>
      <c r="B28" s="5" t="s">
        <v>23</v>
      </c>
      <c r="C28" s="34">
        <v>120000</v>
      </c>
      <c r="D28" s="4">
        <v>121695</v>
      </c>
      <c r="E28" s="34">
        <v>120000</v>
      </c>
      <c r="F28" s="4">
        <v>121695</v>
      </c>
      <c r="G28" s="34">
        <v>120000</v>
      </c>
      <c r="H28" s="4">
        <v>121695</v>
      </c>
      <c r="I28" s="151"/>
      <c r="J28" s="117">
        <f t="shared" si="11"/>
        <v>365085</v>
      </c>
      <c r="K28" s="60">
        <v>120000</v>
      </c>
      <c r="L28" s="4">
        <v>121695</v>
      </c>
      <c r="M28" s="34">
        <v>120000</v>
      </c>
      <c r="N28" s="4">
        <v>164700</v>
      </c>
      <c r="O28" s="34">
        <v>120000</v>
      </c>
      <c r="P28" s="4">
        <v>164700</v>
      </c>
      <c r="Q28" s="151"/>
      <c r="R28" s="117">
        <f t="shared" si="12"/>
        <v>451095</v>
      </c>
      <c r="S28" s="151"/>
      <c r="T28" s="117">
        <f t="shared" si="13"/>
        <v>816180</v>
      </c>
      <c r="U28" s="60">
        <v>120000</v>
      </c>
      <c r="V28" s="46">
        <v>164700</v>
      </c>
      <c r="W28" s="34">
        <v>120000</v>
      </c>
      <c r="X28" s="4">
        <v>166530</v>
      </c>
      <c r="Y28" s="34">
        <v>120000</v>
      </c>
      <c r="Z28" s="4">
        <v>166530</v>
      </c>
      <c r="AA28" s="151"/>
      <c r="AB28" s="117">
        <f t="shared" si="14"/>
        <v>497760</v>
      </c>
      <c r="AC28" s="60">
        <v>120000</v>
      </c>
      <c r="AD28" s="4">
        <v>166530</v>
      </c>
      <c r="AE28" s="34">
        <v>120000</v>
      </c>
      <c r="AF28" s="4">
        <v>166530</v>
      </c>
      <c r="AG28" s="34">
        <v>120000</v>
      </c>
      <c r="AH28" s="4">
        <v>212280</v>
      </c>
      <c r="AI28" s="151">
        <f t="shared" si="15"/>
        <v>360000</v>
      </c>
      <c r="AJ28" s="117">
        <f t="shared" si="15"/>
        <v>545340</v>
      </c>
      <c r="AK28" s="151">
        <f t="shared" si="16"/>
        <v>360000</v>
      </c>
      <c r="AL28" s="117">
        <f t="shared" si="16"/>
        <v>1043100</v>
      </c>
      <c r="AM28" s="129">
        <f t="shared" si="6"/>
        <v>1440000</v>
      </c>
      <c r="AN28" s="117">
        <f>SUM(D28,F28,H28,L28,N28,P28,V28,X28,Z28,AD28,AF28,AH28)</f>
        <v>1859280</v>
      </c>
    </row>
    <row r="29" spans="1:40" ht="20.25" customHeight="1" x14ac:dyDescent="0.15">
      <c r="A29" s="23"/>
      <c r="B29" s="5" t="s">
        <v>24</v>
      </c>
      <c r="C29" s="34">
        <v>8000</v>
      </c>
      <c r="D29" s="4">
        <v>7952</v>
      </c>
      <c r="E29" s="34">
        <v>8000</v>
      </c>
      <c r="F29" s="4">
        <v>7952</v>
      </c>
      <c r="G29" s="34">
        <v>8000</v>
      </c>
      <c r="H29" s="4">
        <v>7952</v>
      </c>
      <c r="I29" s="151"/>
      <c r="J29" s="117">
        <f t="shared" si="11"/>
        <v>23856</v>
      </c>
      <c r="K29" s="60">
        <v>8000</v>
      </c>
      <c r="L29" s="4">
        <v>8132</v>
      </c>
      <c r="M29" s="34">
        <v>8000</v>
      </c>
      <c r="N29" s="4">
        <v>10888</v>
      </c>
      <c r="O29" s="34">
        <v>8000</v>
      </c>
      <c r="P29" s="4">
        <v>10964</v>
      </c>
      <c r="Q29" s="151"/>
      <c r="R29" s="117">
        <f t="shared" si="12"/>
        <v>29984</v>
      </c>
      <c r="S29" s="151"/>
      <c r="T29" s="117">
        <f t="shared" si="13"/>
        <v>53840</v>
      </c>
      <c r="U29" s="60">
        <v>8000</v>
      </c>
      <c r="V29" s="46">
        <v>10964</v>
      </c>
      <c r="W29" s="34">
        <v>8000</v>
      </c>
      <c r="X29" s="4">
        <v>18268</v>
      </c>
      <c r="Y29" s="34">
        <v>8000</v>
      </c>
      <c r="Z29" s="4">
        <v>18268</v>
      </c>
      <c r="AA29" s="151"/>
      <c r="AB29" s="117">
        <f t="shared" si="14"/>
        <v>47500</v>
      </c>
      <c r="AC29" s="60">
        <v>8000</v>
      </c>
      <c r="AD29" s="4">
        <v>18268</v>
      </c>
      <c r="AE29" s="34">
        <v>8000</v>
      </c>
      <c r="AF29" s="4">
        <v>18268</v>
      </c>
      <c r="AG29" s="34">
        <v>8000</v>
      </c>
      <c r="AH29" s="4">
        <v>18736</v>
      </c>
      <c r="AI29" s="151">
        <f t="shared" si="15"/>
        <v>24000</v>
      </c>
      <c r="AJ29" s="117">
        <f t="shared" si="15"/>
        <v>55272</v>
      </c>
      <c r="AK29" s="151">
        <f t="shared" si="16"/>
        <v>24000</v>
      </c>
      <c r="AL29" s="117">
        <f t="shared" si="16"/>
        <v>102772</v>
      </c>
      <c r="AM29" s="129">
        <f t="shared" si="6"/>
        <v>96000</v>
      </c>
      <c r="AN29" s="117">
        <f t="shared" si="7"/>
        <v>156612</v>
      </c>
    </row>
    <row r="30" spans="1:40" ht="20.25" customHeight="1" x14ac:dyDescent="0.15">
      <c r="A30" s="23"/>
      <c r="B30" s="5" t="s">
        <v>25</v>
      </c>
      <c r="C30" s="34">
        <v>5000</v>
      </c>
      <c r="D30" s="4">
        <v>3975.51</v>
      </c>
      <c r="E30" s="34">
        <v>5000</v>
      </c>
      <c r="F30" s="4">
        <v>3975.51</v>
      </c>
      <c r="G30" s="34">
        <v>5000</v>
      </c>
      <c r="H30" s="4">
        <v>3975.51</v>
      </c>
      <c r="I30" s="151"/>
      <c r="J30" s="117">
        <f t="shared" si="11"/>
        <v>11926.53</v>
      </c>
      <c r="K30" s="60">
        <v>5000</v>
      </c>
      <c r="L30" s="4">
        <v>4065.51</v>
      </c>
      <c r="M30" s="34">
        <v>5000</v>
      </c>
      <c r="N30" s="4">
        <v>5443.56</v>
      </c>
      <c r="O30" s="34">
        <v>5000</v>
      </c>
      <c r="P30" s="4">
        <v>5481.06</v>
      </c>
      <c r="Q30" s="151"/>
      <c r="R30" s="117">
        <f t="shared" si="12"/>
        <v>14990.130000000001</v>
      </c>
      <c r="S30" s="151"/>
      <c r="T30" s="117">
        <f t="shared" si="13"/>
        <v>26916.660000000003</v>
      </c>
      <c r="U30" s="60">
        <v>5000</v>
      </c>
      <c r="V30" s="46">
        <v>5481.06</v>
      </c>
      <c r="W30" s="34">
        <v>5000</v>
      </c>
      <c r="X30" s="4">
        <v>5481.06</v>
      </c>
      <c r="Y30" s="34">
        <v>5000</v>
      </c>
      <c r="Z30" s="4">
        <v>5481.06</v>
      </c>
      <c r="AA30" s="151"/>
      <c r="AB30" s="117">
        <f t="shared" si="14"/>
        <v>16443.18</v>
      </c>
      <c r="AC30" s="60">
        <v>5000</v>
      </c>
      <c r="AD30" s="4">
        <v>5481.06</v>
      </c>
      <c r="AE30" s="34">
        <v>5000</v>
      </c>
      <c r="AF30" s="4">
        <v>5481.06</v>
      </c>
      <c r="AG30" s="34">
        <v>5000</v>
      </c>
      <c r="AH30" s="4">
        <v>5621.598</v>
      </c>
      <c r="AI30" s="151">
        <f t="shared" si="15"/>
        <v>15000</v>
      </c>
      <c r="AJ30" s="117">
        <f t="shared" si="15"/>
        <v>16583.718000000001</v>
      </c>
      <c r="AK30" s="151">
        <f t="shared" si="16"/>
        <v>15000</v>
      </c>
      <c r="AL30" s="117">
        <f t="shared" si="16"/>
        <v>33026.898000000001</v>
      </c>
      <c r="AM30" s="129">
        <f t="shared" si="6"/>
        <v>60000</v>
      </c>
      <c r="AN30" s="117">
        <f t="shared" si="7"/>
        <v>59943.557999999997</v>
      </c>
    </row>
    <row r="31" spans="1:40" ht="20.25" customHeight="1" thickBot="1" x14ac:dyDescent="0.2">
      <c r="A31" s="23"/>
      <c r="B31" s="6" t="s">
        <v>26</v>
      </c>
      <c r="C31" s="34">
        <v>56000</v>
      </c>
      <c r="D31" s="4">
        <v>55170</v>
      </c>
      <c r="E31" s="34">
        <v>56000</v>
      </c>
      <c r="F31" s="4">
        <v>55170</v>
      </c>
      <c r="G31" s="34">
        <v>56000</v>
      </c>
      <c r="H31" s="4">
        <v>55170</v>
      </c>
      <c r="I31" s="151"/>
      <c r="J31" s="117">
        <f t="shared" si="11"/>
        <v>165510</v>
      </c>
      <c r="K31" s="60">
        <v>56000</v>
      </c>
      <c r="L31" s="4">
        <v>55170</v>
      </c>
      <c r="M31" s="34">
        <v>56000</v>
      </c>
      <c r="N31" s="4">
        <v>67020</v>
      </c>
      <c r="O31" s="34">
        <v>56000</v>
      </c>
      <c r="P31" s="4">
        <v>67020</v>
      </c>
      <c r="Q31" s="151"/>
      <c r="R31" s="117">
        <f t="shared" si="12"/>
        <v>189210</v>
      </c>
      <c r="S31" s="151"/>
      <c r="T31" s="117">
        <f t="shared" si="13"/>
        <v>354720</v>
      </c>
      <c r="U31" s="60">
        <v>56000</v>
      </c>
      <c r="V31" s="46">
        <v>67020</v>
      </c>
      <c r="W31" s="34">
        <v>56000</v>
      </c>
      <c r="X31" s="4">
        <v>67020</v>
      </c>
      <c r="Y31" s="34">
        <v>56000</v>
      </c>
      <c r="Z31" s="4">
        <v>67020</v>
      </c>
      <c r="AA31" s="151"/>
      <c r="AB31" s="117">
        <f t="shared" si="14"/>
        <v>201060</v>
      </c>
      <c r="AC31" s="60">
        <v>56000</v>
      </c>
      <c r="AD31" s="4">
        <v>67020</v>
      </c>
      <c r="AE31" s="34">
        <v>56000</v>
      </c>
      <c r="AF31" s="4">
        <v>67020</v>
      </c>
      <c r="AG31" s="34">
        <v>56000</v>
      </c>
      <c r="AH31" s="4">
        <v>66906</v>
      </c>
      <c r="AI31" s="151">
        <f t="shared" si="15"/>
        <v>168000</v>
      </c>
      <c r="AJ31" s="117">
        <f>AD31+AF31+AH31</f>
        <v>200946</v>
      </c>
      <c r="AK31" s="151">
        <f t="shared" si="16"/>
        <v>168000</v>
      </c>
      <c r="AL31" s="117">
        <f t="shared" si="16"/>
        <v>402006</v>
      </c>
      <c r="AM31" s="201">
        <f t="shared" si="6"/>
        <v>672000</v>
      </c>
      <c r="AN31" s="117">
        <f t="shared" si="7"/>
        <v>756726</v>
      </c>
    </row>
    <row r="32" spans="1:40" ht="20.25" customHeight="1" thickTop="1" thickBot="1" x14ac:dyDescent="0.2">
      <c r="A32" s="24"/>
      <c r="B32" s="12" t="s">
        <v>27</v>
      </c>
      <c r="C32" s="39">
        <f>SUM(C23:C31)</f>
        <v>1571000</v>
      </c>
      <c r="D32" s="13">
        <f t="shared" ref="D32:AM32" si="17">SUM(D23:D31)</f>
        <v>1539190.51</v>
      </c>
      <c r="E32" s="39">
        <f t="shared" si="17"/>
        <v>1571000</v>
      </c>
      <c r="F32" s="13">
        <f t="shared" si="17"/>
        <v>1537661.51</v>
      </c>
      <c r="G32" s="39">
        <f t="shared" si="17"/>
        <v>1571000</v>
      </c>
      <c r="H32" s="13">
        <f t="shared" si="17"/>
        <v>1537661.51</v>
      </c>
      <c r="I32" s="39">
        <f>SUM(I23:I31)</f>
        <v>0</v>
      </c>
      <c r="J32" s="13">
        <f t="shared" si="17"/>
        <v>4614513.53</v>
      </c>
      <c r="K32" s="65">
        <f t="shared" si="17"/>
        <v>1571000</v>
      </c>
      <c r="L32" s="13">
        <f>SUM(L23:L31)</f>
        <v>1567931.51</v>
      </c>
      <c r="M32" s="39">
        <f t="shared" si="17"/>
        <v>1571000</v>
      </c>
      <c r="N32" s="13">
        <f t="shared" si="17"/>
        <v>2102291.56</v>
      </c>
      <c r="O32" s="39">
        <f t="shared" si="17"/>
        <v>1571000</v>
      </c>
      <c r="P32" s="13">
        <f t="shared" si="17"/>
        <v>2114905.06</v>
      </c>
      <c r="Q32" s="39">
        <f t="shared" si="17"/>
        <v>0</v>
      </c>
      <c r="R32" s="13">
        <f t="shared" si="17"/>
        <v>5785128.1299999999</v>
      </c>
      <c r="S32" s="39">
        <f t="shared" si="17"/>
        <v>0</v>
      </c>
      <c r="T32" s="13">
        <f t="shared" si="17"/>
        <v>10399641.66</v>
      </c>
      <c r="U32" s="65">
        <f t="shared" si="17"/>
        <v>1571000</v>
      </c>
      <c r="V32" s="13">
        <f t="shared" si="17"/>
        <v>2114905.06</v>
      </c>
      <c r="W32" s="39">
        <f t="shared" si="17"/>
        <v>1571000</v>
      </c>
      <c r="X32" s="13">
        <f t="shared" si="17"/>
        <v>2125225.06</v>
      </c>
      <c r="Y32" s="39">
        <f t="shared" si="17"/>
        <v>1571000</v>
      </c>
      <c r="Z32" s="13">
        <f t="shared" si="17"/>
        <v>2125225.06</v>
      </c>
      <c r="AA32" s="39">
        <f t="shared" si="17"/>
        <v>0</v>
      </c>
      <c r="AB32" s="13">
        <f t="shared" si="17"/>
        <v>6365355.1799999997</v>
      </c>
      <c r="AC32" s="65">
        <f t="shared" si="17"/>
        <v>1571000</v>
      </c>
      <c r="AD32" s="13">
        <f t="shared" si="17"/>
        <v>2125225.06</v>
      </c>
      <c r="AE32" s="39">
        <f t="shared" si="17"/>
        <v>1571000</v>
      </c>
      <c r="AF32" s="13">
        <f t="shared" si="17"/>
        <v>4025225.06</v>
      </c>
      <c r="AG32" s="39">
        <f t="shared" si="17"/>
        <v>1571000</v>
      </c>
      <c r="AH32" s="13">
        <f t="shared" si="17"/>
        <v>2248079.5980000002</v>
      </c>
      <c r="AI32" s="39">
        <f t="shared" si="17"/>
        <v>4713000</v>
      </c>
      <c r="AJ32" s="13">
        <f t="shared" si="17"/>
        <v>8398529.7180000003</v>
      </c>
      <c r="AK32" s="39">
        <f t="shared" si="17"/>
        <v>4713000</v>
      </c>
      <c r="AL32" s="13">
        <f t="shared" si="17"/>
        <v>14763884.898</v>
      </c>
      <c r="AM32" s="65">
        <f t="shared" si="17"/>
        <v>18852000</v>
      </c>
      <c r="AN32" s="13">
        <f>SUM(D32,F32,H32,L32,N32,P32,V32,X32,Z32,AD32,AF32,AH32)</f>
        <v>25163526.558000002</v>
      </c>
    </row>
    <row r="33" spans="1:40" ht="20.25" customHeight="1" x14ac:dyDescent="0.15">
      <c r="A33" s="25" t="s">
        <v>34</v>
      </c>
      <c r="B33" s="3" t="s">
        <v>35</v>
      </c>
      <c r="C33" s="34">
        <v>15000</v>
      </c>
      <c r="D33" s="4">
        <f>2400+1355</f>
        <v>3755</v>
      </c>
      <c r="E33" s="34">
        <v>15000</v>
      </c>
      <c r="F33" s="4">
        <f>453+2400</f>
        <v>2853</v>
      </c>
      <c r="G33" s="34">
        <v>15000</v>
      </c>
      <c r="H33" s="4">
        <f>7453+2400</f>
        <v>9853</v>
      </c>
      <c r="I33" s="151"/>
      <c r="J33" s="117">
        <f t="shared" ref="J33:J57" si="18">D33+F33+H33</f>
        <v>16461</v>
      </c>
      <c r="K33" s="60">
        <v>15000</v>
      </c>
      <c r="L33" s="4">
        <f>2400+11391</f>
        <v>13791</v>
      </c>
      <c r="M33" s="34">
        <v>15000</v>
      </c>
      <c r="N33" s="4">
        <v>2400</v>
      </c>
      <c r="O33" s="34">
        <v>15000</v>
      </c>
      <c r="P33" s="4">
        <f>6700+2400+7800+5255</f>
        <v>22155</v>
      </c>
      <c r="Q33" s="151"/>
      <c r="R33" s="117">
        <f t="shared" ref="R33:R57" si="19">L33+N33+P33</f>
        <v>38346</v>
      </c>
      <c r="S33" s="151"/>
      <c r="T33" s="117">
        <f t="shared" ref="T33:T57" si="20">J33+R33</f>
        <v>54807</v>
      </c>
      <c r="U33" s="60">
        <v>15000</v>
      </c>
      <c r="V33" s="4">
        <f>7301+2400+7000</f>
        <v>16701</v>
      </c>
      <c r="W33" s="34">
        <v>15000</v>
      </c>
      <c r="X33" s="4">
        <f>5884+2400</f>
        <v>8284</v>
      </c>
      <c r="Y33" s="34">
        <v>15000</v>
      </c>
      <c r="Z33" s="4">
        <v>3975</v>
      </c>
      <c r="AA33" s="151"/>
      <c r="AB33" s="117">
        <f t="shared" ref="AB33:AB57" si="21">V33+X33+Z33</f>
        <v>28960</v>
      </c>
      <c r="AC33" s="60">
        <v>15000</v>
      </c>
      <c r="AD33" s="4">
        <f>2400+23938+2400</f>
        <v>28738</v>
      </c>
      <c r="AE33" s="34">
        <v>15000</v>
      </c>
      <c r="AF33" s="4">
        <f>1672+2400+6947+37210</f>
        <v>48229</v>
      </c>
      <c r="AG33" s="34">
        <v>15000</v>
      </c>
      <c r="AH33" s="4">
        <f>6531+3200</f>
        <v>9731</v>
      </c>
      <c r="AI33" s="151">
        <f t="shared" ref="AI33:AI54" si="22">AC33+AE33+AG33</f>
        <v>45000</v>
      </c>
      <c r="AJ33" s="117">
        <f t="shared" ref="AJ33:AJ54" si="23">AD33+AF33+AH33</f>
        <v>86698</v>
      </c>
      <c r="AK33" s="151">
        <f t="shared" ref="AK33:AK54" si="24">AA33+AI33</f>
        <v>45000</v>
      </c>
      <c r="AL33" s="117">
        <f t="shared" ref="AL33:AL54" si="25">AB33+AJ33</f>
        <v>115658</v>
      </c>
      <c r="AM33" s="129">
        <f t="shared" si="6"/>
        <v>180000</v>
      </c>
      <c r="AN33" s="117">
        <f t="shared" si="7"/>
        <v>170465</v>
      </c>
    </row>
    <row r="34" spans="1:40" ht="20.25" customHeight="1" x14ac:dyDescent="0.15">
      <c r="A34" s="23"/>
      <c r="B34" s="5" t="s">
        <v>36</v>
      </c>
      <c r="C34" s="34">
        <v>80000</v>
      </c>
      <c r="D34" s="4">
        <v>118984</v>
      </c>
      <c r="E34" s="34">
        <v>80000</v>
      </c>
      <c r="F34" s="4">
        <v>31396</v>
      </c>
      <c r="G34" s="34">
        <v>80000</v>
      </c>
      <c r="H34" s="4">
        <v>108015</v>
      </c>
      <c r="I34" s="151"/>
      <c r="J34" s="117">
        <f t="shared" si="18"/>
        <v>258395</v>
      </c>
      <c r="K34" s="60">
        <v>80000</v>
      </c>
      <c r="L34" s="4">
        <v>155051</v>
      </c>
      <c r="M34" s="34">
        <v>80000</v>
      </c>
      <c r="N34" s="4">
        <v>-38520</v>
      </c>
      <c r="O34" s="34">
        <v>80000</v>
      </c>
      <c r="P34" s="4">
        <v>46991</v>
      </c>
      <c r="Q34" s="151"/>
      <c r="R34" s="117">
        <f t="shared" si="19"/>
        <v>163522</v>
      </c>
      <c r="S34" s="151"/>
      <c r="T34" s="117">
        <f t="shared" si="20"/>
        <v>421917</v>
      </c>
      <c r="U34" s="60">
        <v>80000</v>
      </c>
      <c r="V34" s="4">
        <v>177563</v>
      </c>
      <c r="W34" s="34">
        <v>80000</v>
      </c>
      <c r="X34" s="4">
        <v>164064</v>
      </c>
      <c r="Y34" s="34">
        <v>80000</v>
      </c>
      <c r="Z34" s="4">
        <v>15421</v>
      </c>
      <c r="AA34" s="151"/>
      <c r="AB34" s="117">
        <f t="shared" si="21"/>
        <v>357048</v>
      </c>
      <c r="AC34" s="60">
        <v>80000</v>
      </c>
      <c r="AD34" s="4">
        <v>57670</v>
      </c>
      <c r="AE34" s="34">
        <v>80000</v>
      </c>
      <c r="AF34" s="4">
        <v>98838</v>
      </c>
      <c r="AG34" s="34">
        <v>80000</v>
      </c>
      <c r="AH34" s="4">
        <v>32640</v>
      </c>
      <c r="AI34" s="151">
        <f t="shared" si="22"/>
        <v>240000</v>
      </c>
      <c r="AJ34" s="117">
        <f t="shared" si="23"/>
        <v>189148</v>
      </c>
      <c r="AK34" s="151">
        <f t="shared" si="24"/>
        <v>240000</v>
      </c>
      <c r="AL34" s="117">
        <f t="shared" si="25"/>
        <v>546196</v>
      </c>
      <c r="AM34" s="129">
        <f t="shared" si="6"/>
        <v>960000</v>
      </c>
      <c r="AN34" s="117">
        <f t="shared" si="7"/>
        <v>968113</v>
      </c>
    </row>
    <row r="35" spans="1:40" ht="20.25" customHeight="1" x14ac:dyDescent="0.15">
      <c r="A35" s="23"/>
      <c r="B35" s="5" t="s">
        <v>37</v>
      </c>
      <c r="C35" s="34">
        <v>300000</v>
      </c>
      <c r="D35" s="4">
        <v>290988</v>
      </c>
      <c r="E35" s="34">
        <v>300000</v>
      </c>
      <c r="F35" s="4">
        <v>290988</v>
      </c>
      <c r="G35" s="34">
        <v>300000</v>
      </c>
      <c r="H35" s="4">
        <v>290988</v>
      </c>
      <c r="I35" s="151"/>
      <c r="J35" s="117">
        <f t="shared" si="18"/>
        <v>872964</v>
      </c>
      <c r="K35" s="60">
        <v>300000</v>
      </c>
      <c r="L35" s="4">
        <v>290988</v>
      </c>
      <c r="M35" s="34">
        <v>300000</v>
      </c>
      <c r="N35" s="4">
        <v>290988</v>
      </c>
      <c r="O35" s="34">
        <v>300000</v>
      </c>
      <c r="P35" s="4">
        <v>290988</v>
      </c>
      <c r="Q35" s="151"/>
      <c r="R35" s="117">
        <f t="shared" si="19"/>
        <v>872964</v>
      </c>
      <c r="S35" s="151"/>
      <c r="T35" s="117">
        <f t="shared" si="20"/>
        <v>1745928</v>
      </c>
      <c r="U35" s="60">
        <v>300000</v>
      </c>
      <c r="V35" s="4">
        <v>290988</v>
      </c>
      <c r="W35" s="34">
        <v>300000</v>
      </c>
      <c r="X35" s="4">
        <v>290988</v>
      </c>
      <c r="Y35" s="34">
        <v>300000</v>
      </c>
      <c r="Z35" s="4">
        <v>290988</v>
      </c>
      <c r="AA35" s="151"/>
      <c r="AB35" s="117">
        <f t="shared" si="21"/>
        <v>872964</v>
      </c>
      <c r="AC35" s="60">
        <v>300000</v>
      </c>
      <c r="AD35" s="4">
        <v>290988</v>
      </c>
      <c r="AE35" s="34">
        <v>300000</v>
      </c>
      <c r="AF35" s="4">
        <v>290988</v>
      </c>
      <c r="AG35" s="34">
        <v>300000</v>
      </c>
      <c r="AH35" s="4">
        <v>290988</v>
      </c>
      <c r="AI35" s="151">
        <f t="shared" si="22"/>
        <v>900000</v>
      </c>
      <c r="AJ35" s="117">
        <f t="shared" si="23"/>
        <v>872964</v>
      </c>
      <c r="AK35" s="151">
        <f t="shared" si="24"/>
        <v>900000</v>
      </c>
      <c r="AL35" s="117">
        <f t="shared" si="25"/>
        <v>1745928</v>
      </c>
      <c r="AM35" s="129">
        <f t="shared" si="6"/>
        <v>3600000</v>
      </c>
      <c r="AN35" s="117">
        <f t="shared" si="7"/>
        <v>3491856</v>
      </c>
    </row>
    <row r="36" spans="1:40" ht="20.25" customHeight="1" x14ac:dyDescent="0.15">
      <c r="A36" s="23"/>
      <c r="B36" s="5" t="s">
        <v>38</v>
      </c>
      <c r="C36" s="34">
        <v>42000</v>
      </c>
      <c r="D36" s="4">
        <v>41486</v>
      </c>
      <c r="E36" s="34">
        <v>42000</v>
      </c>
      <c r="F36" s="4">
        <v>41486</v>
      </c>
      <c r="G36" s="34">
        <v>42000</v>
      </c>
      <c r="H36" s="4">
        <v>41486</v>
      </c>
      <c r="I36" s="151"/>
      <c r="J36" s="117">
        <f t="shared" si="18"/>
        <v>124458</v>
      </c>
      <c r="K36" s="60">
        <v>42000</v>
      </c>
      <c r="L36" s="4">
        <v>41486</v>
      </c>
      <c r="M36" s="34">
        <v>42000</v>
      </c>
      <c r="N36" s="4">
        <v>41486</v>
      </c>
      <c r="O36" s="34">
        <v>42000</v>
      </c>
      <c r="P36" s="4">
        <v>25973</v>
      </c>
      <c r="Q36" s="151"/>
      <c r="R36" s="117">
        <f t="shared" si="19"/>
        <v>108945</v>
      </c>
      <c r="S36" s="151"/>
      <c r="T36" s="117">
        <f t="shared" si="20"/>
        <v>233403</v>
      </c>
      <c r="U36" s="60">
        <v>42000</v>
      </c>
      <c r="V36" s="4">
        <v>44933</v>
      </c>
      <c r="W36" s="34">
        <v>42000</v>
      </c>
      <c r="X36" s="4">
        <v>25973</v>
      </c>
      <c r="Y36" s="34">
        <v>42000</v>
      </c>
      <c r="Z36" s="4">
        <v>25973</v>
      </c>
      <c r="AA36" s="151"/>
      <c r="AB36" s="117">
        <f t="shared" si="21"/>
        <v>96879</v>
      </c>
      <c r="AC36" s="60">
        <v>42000</v>
      </c>
      <c r="AD36" s="4">
        <v>25973</v>
      </c>
      <c r="AE36" s="34">
        <v>42000</v>
      </c>
      <c r="AF36" s="4">
        <v>25973</v>
      </c>
      <c r="AG36" s="34">
        <v>42000</v>
      </c>
      <c r="AH36" s="4">
        <v>25973</v>
      </c>
      <c r="AI36" s="151">
        <f t="shared" si="22"/>
        <v>126000</v>
      </c>
      <c r="AJ36" s="117">
        <f t="shared" si="23"/>
        <v>77919</v>
      </c>
      <c r="AK36" s="151">
        <f t="shared" si="24"/>
        <v>126000</v>
      </c>
      <c r="AL36" s="117">
        <f t="shared" si="25"/>
        <v>174798</v>
      </c>
      <c r="AM36" s="129">
        <f t="shared" si="6"/>
        <v>504000</v>
      </c>
      <c r="AN36" s="117">
        <f t="shared" si="7"/>
        <v>408201</v>
      </c>
    </row>
    <row r="37" spans="1:40" ht="20.25" customHeight="1" x14ac:dyDescent="0.15">
      <c r="A37" s="23"/>
      <c r="B37" s="5" t="s">
        <v>39</v>
      </c>
      <c r="C37" s="34">
        <v>0</v>
      </c>
      <c r="D37" s="4"/>
      <c r="E37" s="34">
        <v>0</v>
      </c>
      <c r="F37" s="4"/>
      <c r="G37" s="34">
        <v>0</v>
      </c>
      <c r="H37" s="4"/>
      <c r="I37" s="151"/>
      <c r="J37" s="117">
        <f t="shared" si="18"/>
        <v>0</v>
      </c>
      <c r="K37" s="60">
        <v>0</v>
      </c>
      <c r="L37" s="4"/>
      <c r="M37" s="34">
        <v>0</v>
      </c>
      <c r="N37" s="4"/>
      <c r="O37" s="34">
        <v>0</v>
      </c>
      <c r="P37" s="4"/>
      <c r="Q37" s="151"/>
      <c r="R37" s="117">
        <f t="shared" si="19"/>
        <v>0</v>
      </c>
      <c r="S37" s="151"/>
      <c r="T37" s="117">
        <f t="shared" si="20"/>
        <v>0</v>
      </c>
      <c r="U37" s="60">
        <v>0</v>
      </c>
      <c r="V37" s="4"/>
      <c r="W37" s="34">
        <v>0</v>
      </c>
      <c r="X37" s="4"/>
      <c r="Y37" s="34">
        <v>0</v>
      </c>
      <c r="Z37" s="4"/>
      <c r="AA37" s="151"/>
      <c r="AB37" s="117">
        <f t="shared" si="21"/>
        <v>0</v>
      </c>
      <c r="AC37" s="60">
        <v>0</v>
      </c>
      <c r="AD37" s="4"/>
      <c r="AE37" s="34">
        <v>0</v>
      </c>
      <c r="AF37" s="4"/>
      <c r="AG37" s="34">
        <v>0</v>
      </c>
      <c r="AH37" s="4"/>
      <c r="AI37" s="151">
        <f t="shared" si="22"/>
        <v>0</v>
      </c>
      <c r="AJ37" s="117">
        <f t="shared" si="23"/>
        <v>0</v>
      </c>
      <c r="AK37" s="151">
        <f t="shared" si="24"/>
        <v>0</v>
      </c>
      <c r="AL37" s="117">
        <f t="shared" si="25"/>
        <v>0</v>
      </c>
      <c r="AM37" s="129">
        <f t="shared" si="6"/>
        <v>0</v>
      </c>
      <c r="AN37" s="117">
        <f t="shared" si="7"/>
        <v>0</v>
      </c>
    </row>
    <row r="38" spans="1:40" ht="20.25" customHeight="1" x14ac:dyDescent="0.15">
      <c r="A38" s="23"/>
      <c r="B38" s="5" t="s">
        <v>40</v>
      </c>
      <c r="C38" s="34">
        <v>1000</v>
      </c>
      <c r="D38" s="4"/>
      <c r="E38" s="34">
        <v>1000</v>
      </c>
      <c r="F38" s="4"/>
      <c r="G38" s="34">
        <v>1000</v>
      </c>
      <c r="H38" s="4"/>
      <c r="I38" s="151"/>
      <c r="J38" s="117">
        <f t="shared" si="18"/>
        <v>0</v>
      </c>
      <c r="K38" s="60">
        <v>1000</v>
      </c>
      <c r="L38" s="4"/>
      <c r="M38" s="34">
        <v>1000</v>
      </c>
      <c r="N38" s="4"/>
      <c r="O38" s="34">
        <v>1000</v>
      </c>
      <c r="P38" s="4"/>
      <c r="Q38" s="151"/>
      <c r="R38" s="117">
        <f t="shared" si="19"/>
        <v>0</v>
      </c>
      <c r="S38" s="151"/>
      <c r="T38" s="117">
        <f t="shared" si="20"/>
        <v>0</v>
      </c>
      <c r="U38" s="60">
        <v>1000</v>
      </c>
      <c r="V38" s="4"/>
      <c r="W38" s="34">
        <v>1000</v>
      </c>
      <c r="X38" s="4"/>
      <c r="Y38" s="34">
        <v>1000</v>
      </c>
      <c r="Z38" s="4"/>
      <c r="AA38" s="151"/>
      <c r="AB38" s="117">
        <f t="shared" si="21"/>
        <v>0</v>
      </c>
      <c r="AC38" s="60">
        <v>1000</v>
      </c>
      <c r="AD38" s="4"/>
      <c r="AE38" s="34">
        <v>1000</v>
      </c>
      <c r="AF38" s="4"/>
      <c r="AG38" s="34">
        <v>1000</v>
      </c>
      <c r="AH38" s="4"/>
      <c r="AI38" s="151">
        <f t="shared" si="22"/>
        <v>3000</v>
      </c>
      <c r="AJ38" s="117">
        <f t="shared" si="23"/>
        <v>0</v>
      </c>
      <c r="AK38" s="151">
        <f t="shared" si="24"/>
        <v>3000</v>
      </c>
      <c r="AL38" s="117">
        <f t="shared" si="25"/>
        <v>0</v>
      </c>
      <c r="AM38" s="129">
        <f t="shared" si="6"/>
        <v>12000</v>
      </c>
      <c r="AN38" s="117">
        <f t="shared" si="7"/>
        <v>0</v>
      </c>
    </row>
    <row r="39" spans="1:40" ht="20.25" customHeight="1" x14ac:dyDescent="0.15">
      <c r="A39" s="23"/>
      <c r="B39" s="5" t="s">
        <v>41</v>
      </c>
      <c r="C39" s="34">
        <v>0</v>
      </c>
      <c r="D39" s="4"/>
      <c r="E39" s="34">
        <v>0</v>
      </c>
      <c r="F39" s="4"/>
      <c r="G39" s="34">
        <v>0</v>
      </c>
      <c r="H39" s="4"/>
      <c r="I39" s="151"/>
      <c r="J39" s="117">
        <f t="shared" si="18"/>
        <v>0</v>
      </c>
      <c r="K39" s="60">
        <v>0</v>
      </c>
      <c r="L39" s="4"/>
      <c r="M39" s="34">
        <v>0</v>
      </c>
      <c r="N39" s="4"/>
      <c r="O39" s="34">
        <v>0</v>
      </c>
      <c r="P39" s="4"/>
      <c r="Q39" s="151"/>
      <c r="R39" s="117">
        <f t="shared" si="19"/>
        <v>0</v>
      </c>
      <c r="S39" s="151"/>
      <c r="T39" s="117">
        <f t="shared" si="20"/>
        <v>0</v>
      </c>
      <c r="U39" s="60">
        <v>0</v>
      </c>
      <c r="V39" s="4"/>
      <c r="W39" s="34">
        <v>0</v>
      </c>
      <c r="X39" s="4"/>
      <c r="Y39" s="34">
        <v>0</v>
      </c>
      <c r="Z39" s="4"/>
      <c r="AA39" s="151"/>
      <c r="AB39" s="117">
        <f t="shared" si="21"/>
        <v>0</v>
      </c>
      <c r="AC39" s="60">
        <v>0</v>
      </c>
      <c r="AD39" s="4"/>
      <c r="AE39" s="34">
        <v>0</v>
      </c>
      <c r="AF39" s="4"/>
      <c r="AG39" s="34">
        <v>0</v>
      </c>
      <c r="AH39" s="4"/>
      <c r="AI39" s="151">
        <f t="shared" si="22"/>
        <v>0</v>
      </c>
      <c r="AJ39" s="117">
        <f t="shared" si="23"/>
        <v>0</v>
      </c>
      <c r="AK39" s="151">
        <f t="shared" si="24"/>
        <v>0</v>
      </c>
      <c r="AL39" s="117">
        <f t="shared" si="25"/>
        <v>0</v>
      </c>
      <c r="AM39" s="129">
        <f t="shared" si="6"/>
        <v>0</v>
      </c>
      <c r="AN39" s="117">
        <f t="shared" si="7"/>
        <v>0</v>
      </c>
    </row>
    <row r="40" spans="1:40" ht="20.25" customHeight="1" x14ac:dyDescent="0.15">
      <c r="A40" s="23"/>
      <c r="B40" s="5" t="s">
        <v>42</v>
      </c>
      <c r="C40" s="34">
        <v>10000</v>
      </c>
      <c r="D40" s="4">
        <v>3637</v>
      </c>
      <c r="E40" s="34">
        <v>10000</v>
      </c>
      <c r="F40" s="4">
        <v>6750</v>
      </c>
      <c r="G40" s="34">
        <v>10000</v>
      </c>
      <c r="H40" s="4">
        <v>27908</v>
      </c>
      <c r="I40" s="151"/>
      <c r="J40" s="117">
        <f t="shared" si="18"/>
        <v>38295</v>
      </c>
      <c r="K40" s="60">
        <v>10000</v>
      </c>
      <c r="L40" s="4">
        <v>82318</v>
      </c>
      <c r="M40" s="34">
        <v>10000</v>
      </c>
      <c r="N40" s="4"/>
      <c r="O40" s="34">
        <v>10000</v>
      </c>
      <c r="P40" s="4">
        <v>46037</v>
      </c>
      <c r="Q40" s="151"/>
      <c r="R40" s="117">
        <f t="shared" si="19"/>
        <v>128355</v>
      </c>
      <c r="S40" s="151"/>
      <c r="T40" s="117">
        <f t="shared" si="20"/>
        <v>166650</v>
      </c>
      <c r="U40" s="60">
        <v>10000</v>
      </c>
      <c r="V40" s="4"/>
      <c r="W40" s="34">
        <v>10000</v>
      </c>
      <c r="X40" s="4">
        <v>11528</v>
      </c>
      <c r="Y40" s="34">
        <v>10000</v>
      </c>
      <c r="Z40" s="4">
        <v>19655</v>
      </c>
      <c r="AA40" s="151"/>
      <c r="AB40" s="117">
        <f t="shared" si="21"/>
        <v>31183</v>
      </c>
      <c r="AC40" s="60">
        <v>10000</v>
      </c>
      <c r="AD40" s="4"/>
      <c r="AE40" s="34">
        <v>10000</v>
      </c>
      <c r="AF40" s="4">
        <v>26819</v>
      </c>
      <c r="AG40" s="34">
        <v>10000</v>
      </c>
      <c r="AH40" s="4"/>
      <c r="AI40" s="151">
        <f t="shared" si="22"/>
        <v>30000</v>
      </c>
      <c r="AJ40" s="117">
        <f t="shared" si="23"/>
        <v>26819</v>
      </c>
      <c r="AK40" s="151">
        <f t="shared" si="24"/>
        <v>30000</v>
      </c>
      <c r="AL40" s="117">
        <f t="shared" si="25"/>
        <v>58002</v>
      </c>
      <c r="AM40" s="129">
        <f t="shared" si="6"/>
        <v>120000</v>
      </c>
      <c r="AN40" s="117">
        <f t="shared" si="7"/>
        <v>224652</v>
      </c>
    </row>
    <row r="41" spans="1:40" ht="20.25" customHeight="1" x14ac:dyDescent="0.15">
      <c r="A41" s="23"/>
      <c r="B41" s="5" t="s">
        <v>43</v>
      </c>
      <c r="C41" s="34">
        <v>50000</v>
      </c>
      <c r="D41" s="4">
        <v>34949</v>
      </c>
      <c r="E41" s="34">
        <v>50000</v>
      </c>
      <c r="F41" s="4">
        <v>82594</v>
      </c>
      <c r="G41" s="34">
        <v>50000</v>
      </c>
      <c r="H41" s="4">
        <v>102871</v>
      </c>
      <c r="I41" s="151"/>
      <c r="J41" s="117">
        <f t="shared" si="18"/>
        <v>220414</v>
      </c>
      <c r="K41" s="60">
        <v>50000</v>
      </c>
      <c r="L41" s="4">
        <v>129562</v>
      </c>
      <c r="M41" s="34">
        <v>50000</v>
      </c>
      <c r="N41" s="4">
        <v>70848</v>
      </c>
      <c r="O41" s="34">
        <v>50000</v>
      </c>
      <c r="P41" s="4">
        <v>118670</v>
      </c>
      <c r="Q41" s="151"/>
      <c r="R41" s="117">
        <f t="shared" si="19"/>
        <v>319080</v>
      </c>
      <c r="S41" s="151"/>
      <c r="T41" s="117">
        <f t="shared" si="20"/>
        <v>539494</v>
      </c>
      <c r="U41" s="60">
        <v>50000</v>
      </c>
      <c r="V41" s="4">
        <v>93728</v>
      </c>
      <c r="W41" s="34">
        <v>50000</v>
      </c>
      <c r="X41" s="4">
        <v>102665</v>
      </c>
      <c r="Y41" s="34">
        <v>50000</v>
      </c>
      <c r="Z41" s="4">
        <v>110439</v>
      </c>
      <c r="AA41" s="151"/>
      <c r="AB41" s="117">
        <f t="shared" si="21"/>
        <v>306832</v>
      </c>
      <c r="AC41" s="60">
        <v>50000</v>
      </c>
      <c r="AD41" s="4">
        <v>88730</v>
      </c>
      <c r="AE41" s="34">
        <v>50000</v>
      </c>
      <c r="AF41" s="4">
        <v>62190</v>
      </c>
      <c r="AG41" s="34">
        <v>50000</v>
      </c>
      <c r="AH41" s="4">
        <v>123003</v>
      </c>
      <c r="AI41" s="151">
        <f t="shared" si="22"/>
        <v>150000</v>
      </c>
      <c r="AJ41" s="117">
        <f t="shared" si="23"/>
        <v>273923</v>
      </c>
      <c r="AK41" s="151">
        <f t="shared" si="24"/>
        <v>150000</v>
      </c>
      <c r="AL41" s="117">
        <f t="shared" si="25"/>
        <v>580755</v>
      </c>
      <c r="AM41" s="129">
        <f t="shared" si="6"/>
        <v>600000</v>
      </c>
      <c r="AN41" s="117">
        <f t="shared" si="7"/>
        <v>1120249</v>
      </c>
    </row>
    <row r="42" spans="1:40" ht="20.25" customHeight="1" x14ac:dyDescent="0.15">
      <c r="A42" s="23"/>
      <c r="B42" s="5" t="s">
        <v>44</v>
      </c>
      <c r="C42" s="34">
        <v>0</v>
      </c>
      <c r="D42" s="4"/>
      <c r="E42" s="34">
        <v>0</v>
      </c>
      <c r="F42" s="4"/>
      <c r="G42" s="34">
        <v>0</v>
      </c>
      <c r="H42" s="4">
        <v>2000</v>
      </c>
      <c r="I42" s="151"/>
      <c r="J42" s="117">
        <f t="shared" si="18"/>
        <v>2000</v>
      </c>
      <c r="K42" s="60">
        <v>0</v>
      </c>
      <c r="L42" s="4"/>
      <c r="M42" s="34">
        <v>0</v>
      </c>
      <c r="N42" s="4"/>
      <c r="O42" s="34">
        <v>0</v>
      </c>
      <c r="P42" s="4"/>
      <c r="Q42" s="151"/>
      <c r="R42" s="117">
        <f t="shared" si="19"/>
        <v>0</v>
      </c>
      <c r="S42" s="151"/>
      <c r="T42" s="117">
        <f t="shared" si="20"/>
        <v>2000</v>
      </c>
      <c r="U42" s="60">
        <v>0</v>
      </c>
      <c r="V42" s="4"/>
      <c r="W42" s="34">
        <v>0</v>
      </c>
      <c r="X42" s="4"/>
      <c r="Y42" s="34">
        <v>0</v>
      </c>
      <c r="Z42" s="4"/>
      <c r="AA42" s="151"/>
      <c r="AB42" s="117">
        <f t="shared" si="21"/>
        <v>0</v>
      </c>
      <c r="AC42" s="60">
        <v>0</v>
      </c>
      <c r="AD42" s="4"/>
      <c r="AE42" s="34">
        <v>0</v>
      </c>
      <c r="AF42" s="4"/>
      <c r="AG42" s="34">
        <v>0</v>
      </c>
      <c r="AH42" s="4"/>
      <c r="AI42" s="151">
        <f t="shared" si="22"/>
        <v>0</v>
      </c>
      <c r="AJ42" s="117">
        <f t="shared" si="23"/>
        <v>0</v>
      </c>
      <c r="AK42" s="151">
        <f t="shared" si="24"/>
        <v>0</v>
      </c>
      <c r="AL42" s="117">
        <f t="shared" si="25"/>
        <v>0</v>
      </c>
      <c r="AM42" s="129">
        <f t="shared" si="6"/>
        <v>0</v>
      </c>
      <c r="AN42" s="117">
        <f t="shared" si="7"/>
        <v>2000</v>
      </c>
    </row>
    <row r="43" spans="1:40" ht="20.25" customHeight="1" x14ac:dyDescent="0.15">
      <c r="A43" s="23"/>
      <c r="B43" s="5" t="s">
        <v>45</v>
      </c>
      <c r="C43" s="34">
        <v>30000</v>
      </c>
      <c r="D43" s="4">
        <v>15276</v>
      </c>
      <c r="E43" s="34">
        <v>30000</v>
      </c>
      <c r="F43" s="4">
        <v>9279</v>
      </c>
      <c r="G43" s="34">
        <v>30000</v>
      </c>
      <c r="H43" s="4">
        <v>33333</v>
      </c>
      <c r="I43" s="151"/>
      <c r="J43" s="117">
        <f t="shared" si="18"/>
        <v>57888</v>
      </c>
      <c r="K43" s="60">
        <v>30000</v>
      </c>
      <c r="L43" s="4">
        <v>29147</v>
      </c>
      <c r="M43" s="34">
        <v>30000</v>
      </c>
      <c r="N43" s="4">
        <v>5503</v>
      </c>
      <c r="O43" s="34">
        <v>30000</v>
      </c>
      <c r="P43" s="4">
        <v>9690</v>
      </c>
      <c r="Q43" s="151"/>
      <c r="R43" s="117">
        <f t="shared" si="19"/>
        <v>44340</v>
      </c>
      <c r="S43" s="151"/>
      <c r="T43" s="117">
        <f t="shared" si="20"/>
        <v>102228</v>
      </c>
      <c r="U43" s="60">
        <v>30000</v>
      </c>
      <c r="V43" s="4">
        <v>9260</v>
      </c>
      <c r="W43" s="34">
        <v>30000</v>
      </c>
      <c r="X43" s="4">
        <f>12317+7843+12800+770</f>
        <v>33730</v>
      </c>
      <c r="Y43" s="34">
        <v>30000</v>
      </c>
      <c r="Z43" s="4">
        <v>41468</v>
      </c>
      <c r="AA43" s="151"/>
      <c r="AB43" s="117">
        <f t="shared" si="21"/>
        <v>84458</v>
      </c>
      <c r="AC43" s="60">
        <v>30000</v>
      </c>
      <c r="AD43" s="4">
        <v>33859</v>
      </c>
      <c r="AE43" s="34">
        <v>30000</v>
      </c>
      <c r="AF43" s="4">
        <v>6207</v>
      </c>
      <c r="AG43" s="34">
        <v>30000</v>
      </c>
      <c r="AH43" s="4">
        <v>-1168</v>
      </c>
      <c r="AI43" s="151">
        <f t="shared" si="22"/>
        <v>90000</v>
      </c>
      <c r="AJ43" s="117">
        <f t="shared" si="23"/>
        <v>38898</v>
      </c>
      <c r="AK43" s="151">
        <f t="shared" si="24"/>
        <v>90000</v>
      </c>
      <c r="AL43" s="117">
        <f t="shared" si="25"/>
        <v>123356</v>
      </c>
      <c r="AM43" s="129">
        <f t="shared" si="6"/>
        <v>360000</v>
      </c>
      <c r="AN43" s="117">
        <f t="shared" si="7"/>
        <v>225584</v>
      </c>
    </row>
    <row r="44" spans="1:40" ht="20.25" customHeight="1" x14ac:dyDescent="0.15">
      <c r="A44" s="23"/>
      <c r="B44" s="5" t="s">
        <v>46</v>
      </c>
      <c r="C44" s="34">
        <v>60000</v>
      </c>
      <c r="D44" s="4">
        <v>40901</v>
      </c>
      <c r="E44" s="34">
        <v>60000</v>
      </c>
      <c r="F44" s="4">
        <v>77214</v>
      </c>
      <c r="G44" s="34">
        <v>60000</v>
      </c>
      <c r="H44" s="4">
        <v>48700</v>
      </c>
      <c r="I44" s="151"/>
      <c r="J44" s="117">
        <f t="shared" si="18"/>
        <v>166815</v>
      </c>
      <c r="K44" s="60">
        <v>60000</v>
      </c>
      <c r="L44" s="4">
        <v>45437</v>
      </c>
      <c r="M44" s="34">
        <v>60000</v>
      </c>
      <c r="N44" s="4">
        <v>58118</v>
      </c>
      <c r="O44" s="34">
        <v>60000</v>
      </c>
      <c r="P44" s="4">
        <v>65607</v>
      </c>
      <c r="Q44" s="151"/>
      <c r="R44" s="117">
        <f t="shared" si="19"/>
        <v>169162</v>
      </c>
      <c r="S44" s="151"/>
      <c r="T44" s="117">
        <f t="shared" si="20"/>
        <v>335977</v>
      </c>
      <c r="U44" s="60">
        <v>60000</v>
      </c>
      <c r="V44" s="4">
        <v>69498</v>
      </c>
      <c r="W44" s="34">
        <v>60000</v>
      </c>
      <c r="X44" s="4">
        <v>68259</v>
      </c>
      <c r="Y44" s="34">
        <v>60000</v>
      </c>
      <c r="Z44" s="4">
        <v>84786</v>
      </c>
      <c r="AA44" s="151"/>
      <c r="AB44" s="117">
        <f t="shared" si="21"/>
        <v>222543</v>
      </c>
      <c r="AC44" s="60">
        <v>60000</v>
      </c>
      <c r="AD44" s="4">
        <v>56157</v>
      </c>
      <c r="AE44" s="34">
        <v>60000</v>
      </c>
      <c r="AF44" s="4">
        <v>52716</v>
      </c>
      <c r="AG44" s="34">
        <v>60000</v>
      </c>
      <c r="AH44" s="4">
        <v>57855</v>
      </c>
      <c r="AI44" s="151">
        <f t="shared" si="22"/>
        <v>180000</v>
      </c>
      <c r="AJ44" s="117">
        <f t="shared" si="23"/>
        <v>166728</v>
      </c>
      <c r="AK44" s="151">
        <f t="shared" si="24"/>
        <v>180000</v>
      </c>
      <c r="AL44" s="117">
        <f t="shared" si="25"/>
        <v>389271</v>
      </c>
      <c r="AM44" s="129">
        <f t="shared" si="6"/>
        <v>720000</v>
      </c>
      <c r="AN44" s="117">
        <f t="shared" si="7"/>
        <v>725248</v>
      </c>
    </row>
    <row r="45" spans="1:40" ht="20.25" customHeight="1" x14ac:dyDescent="0.15">
      <c r="A45" s="23"/>
      <c r="B45" s="5" t="s">
        <v>47</v>
      </c>
      <c r="C45" s="34">
        <v>60000</v>
      </c>
      <c r="D45" s="4">
        <v>64391</v>
      </c>
      <c r="E45" s="34">
        <v>60000</v>
      </c>
      <c r="F45" s="4">
        <v>59788</v>
      </c>
      <c r="G45" s="34">
        <v>60000</v>
      </c>
      <c r="H45" s="4">
        <v>52871</v>
      </c>
      <c r="I45" s="151"/>
      <c r="J45" s="117">
        <f t="shared" si="18"/>
        <v>177050</v>
      </c>
      <c r="K45" s="60">
        <v>60000</v>
      </c>
      <c r="L45" s="4">
        <v>45453</v>
      </c>
      <c r="M45" s="34">
        <v>60000</v>
      </c>
      <c r="N45" s="4">
        <v>39846</v>
      </c>
      <c r="O45" s="34">
        <v>60000</v>
      </c>
      <c r="P45" s="4">
        <v>46399</v>
      </c>
      <c r="Q45" s="151"/>
      <c r="R45" s="117">
        <f t="shared" si="19"/>
        <v>131698</v>
      </c>
      <c r="S45" s="151"/>
      <c r="T45" s="117">
        <f t="shared" si="20"/>
        <v>308748</v>
      </c>
      <c r="U45" s="60">
        <v>60000</v>
      </c>
      <c r="V45" s="4">
        <v>50548</v>
      </c>
      <c r="W45" s="34">
        <v>60000</v>
      </c>
      <c r="X45" s="4">
        <v>59817</v>
      </c>
      <c r="Y45" s="34">
        <v>60000</v>
      </c>
      <c r="Z45" s="4">
        <v>46784</v>
      </c>
      <c r="AA45" s="151"/>
      <c r="AB45" s="117">
        <f t="shared" si="21"/>
        <v>157149</v>
      </c>
      <c r="AC45" s="60">
        <v>60000</v>
      </c>
      <c r="AD45" s="4">
        <v>48973</v>
      </c>
      <c r="AE45" s="34">
        <v>60000</v>
      </c>
      <c r="AF45" s="4">
        <v>47979</v>
      </c>
      <c r="AG45" s="34">
        <v>60000</v>
      </c>
      <c r="AH45" s="4">
        <v>64948</v>
      </c>
      <c r="AI45" s="151">
        <f t="shared" si="22"/>
        <v>180000</v>
      </c>
      <c r="AJ45" s="117">
        <f t="shared" si="23"/>
        <v>161900</v>
      </c>
      <c r="AK45" s="151">
        <f t="shared" si="24"/>
        <v>180000</v>
      </c>
      <c r="AL45" s="117">
        <f t="shared" si="25"/>
        <v>319049</v>
      </c>
      <c r="AM45" s="129">
        <f t="shared" si="6"/>
        <v>720000</v>
      </c>
      <c r="AN45" s="117">
        <f t="shared" si="7"/>
        <v>627797</v>
      </c>
    </row>
    <row r="46" spans="1:40" ht="20.25" customHeight="1" x14ac:dyDescent="0.15">
      <c r="A46" s="23"/>
      <c r="B46" s="5" t="s">
        <v>48</v>
      </c>
      <c r="C46" s="34">
        <v>25000</v>
      </c>
      <c r="D46" s="4">
        <v>27190</v>
      </c>
      <c r="E46" s="34">
        <v>25000</v>
      </c>
      <c r="F46" s="4">
        <v>5000</v>
      </c>
      <c r="G46" s="34">
        <v>25000</v>
      </c>
      <c r="H46" s="4">
        <v>5000</v>
      </c>
      <c r="I46" s="151"/>
      <c r="J46" s="117">
        <f t="shared" si="18"/>
        <v>37190</v>
      </c>
      <c r="K46" s="60">
        <v>25000</v>
      </c>
      <c r="L46" s="4">
        <v>5000</v>
      </c>
      <c r="M46" s="34">
        <v>25000</v>
      </c>
      <c r="N46" s="4">
        <v>5000</v>
      </c>
      <c r="O46" s="34">
        <v>25000</v>
      </c>
      <c r="P46" s="4">
        <v>5000</v>
      </c>
      <c r="Q46" s="151"/>
      <c r="R46" s="117">
        <f t="shared" si="19"/>
        <v>15000</v>
      </c>
      <c r="S46" s="151"/>
      <c r="T46" s="117">
        <f t="shared" si="20"/>
        <v>52190</v>
      </c>
      <c r="U46" s="60">
        <v>25000</v>
      </c>
      <c r="V46" s="4">
        <v>5000</v>
      </c>
      <c r="W46" s="34">
        <v>25000</v>
      </c>
      <c r="X46" s="4">
        <v>5000</v>
      </c>
      <c r="Y46" s="34">
        <v>25000</v>
      </c>
      <c r="Z46" s="4">
        <v>424195</v>
      </c>
      <c r="AA46" s="151"/>
      <c r="AB46" s="117">
        <f t="shared" si="21"/>
        <v>434195</v>
      </c>
      <c r="AC46" s="60">
        <v>25000</v>
      </c>
      <c r="AD46" s="4">
        <v>5000</v>
      </c>
      <c r="AE46" s="34">
        <v>25000</v>
      </c>
      <c r="AF46" s="4">
        <v>5000</v>
      </c>
      <c r="AG46" s="34">
        <v>25000</v>
      </c>
      <c r="AH46" s="4">
        <v>5000</v>
      </c>
      <c r="AI46" s="151">
        <f t="shared" si="22"/>
        <v>75000</v>
      </c>
      <c r="AJ46" s="117">
        <f t="shared" si="23"/>
        <v>15000</v>
      </c>
      <c r="AK46" s="151">
        <f t="shared" si="24"/>
        <v>75000</v>
      </c>
      <c r="AL46" s="117">
        <f t="shared" si="25"/>
        <v>449195</v>
      </c>
      <c r="AM46" s="129">
        <f t="shared" si="6"/>
        <v>300000</v>
      </c>
      <c r="AN46" s="117">
        <f t="shared" si="7"/>
        <v>501385</v>
      </c>
    </row>
    <row r="47" spans="1:40" ht="20.25" customHeight="1" x14ac:dyDescent="0.15">
      <c r="A47" s="23"/>
      <c r="B47" s="5" t="s">
        <v>49</v>
      </c>
      <c r="C47" s="34">
        <v>10000</v>
      </c>
      <c r="D47" s="4"/>
      <c r="E47" s="34">
        <v>10000</v>
      </c>
      <c r="F47" s="4"/>
      <c r="G47" s="34">
        <v>10000</v>
      </c>
      <c r="H47" s="4">
        <v>2728</v>
      </c>
      <c r="I47" s="151"/>
      <c r="J47" s="117">
        <f t="shared" si="18"/>
        <v>2728</v>
      </c>
      <c r="K47" s="60">
        <v>10000</v>
      </c>
      <c r="L47" s="4"/>
      <c r="M47" s="34">
        <v>10000</v>
      </c>
      <c r="N47" s="4">
        <v>9091</v>
      </c>
      <c r="O47" s="34">
        <v>10000</v>
      </c>
      <c r="P47" s="4"/>
      <c r="Q47" s="151"/>
      <c r="R47" s="117">
        <f t="shared" si="19"/>
        <v>9091</v>
      </c>
      <c r="S47" s="151"/>
      <c r="T47" s="117">
        <f t="shared" si="20"/>
        <v>11819</v>
      </c>
      <c r="U47" s="60">
        <v>10000</v>
      </c>
      <c r="V47" s="4"/>
      <c r="W47" s="34">
        <v>10000</v>
      </c>
      <c r="X47" s="4">
        <v>2728</v>
      </c>
      <c r="Y47" s="34">
        <v>10000</v>
      </c>
      <c r="Z47" s="4"/>
      <c r="AA47" s="151"/>
      <c r="AB47" s="117">
        <f t="shared" si="21"/>
        <v>2728</v>
      </c>
      <c r="AC47" s="60">
        <v>10000</v>
      </c>
      <c r="AD47" s="4"/>
      <c r="AE47" s="34">
        <v>10000</v>
      </c>
      <c r="AF47" s="4"/>
      <c r="AG47" s="34">
        <v>10000</v>
      </c>
      <c r="AH47" s="4">
        <v>27273</v>
      </c>
      <c r="AI47" s="151">
        <f t="shared" si="22"/>
        <v>30000</v>
      </c>
      <c r="AJ47" s="117">
        <f t="shared" si="23"/>
        <v>27273</v>
      </c>
      <c r="AK47" s="151">
        <f t="shared" si="24"/>
        <v>30000</v>
      </c>
      <c r="AL47" s="117">
        <f t="shared" si="25"/>
        <v>30001</v>
      </c>
      <c r="AM47" s="129">
        <f t="shared" si="6"/>
        <v>120000</v>
      </c>
      <c r="AN47" s="117">
        <f t="shared" si="7"/>
        <v>41820</v>
      </c>
    </row>
    <row r="48" spans="1:40" ht="20.25" customHeight="1" x14ac:dyDescent="0.15">
      <c r="A48" s="23"/>
      <c r="B48" s="5" t="s">
        <v>50</v>
      </c>
      <c r="C48" s="34">
        <v>10000</v>
      </c>
      <c r="D48" s="4">
        <v>11380</v>
      </c>
      <c r="E48" s="34">
        <v>10000</v>
      </c>
      <c r="F48" s="4">
        <v>9940</v>
      </c>
      <c r="G48" s="34">
        <v>10000</v>
      </c>
      <c r="H48" s="4">
        <v>10360</v>
      </c>
      <c r="I48" s="151"/>
      <c r="J48" s="117">
        <f t="shared" si="18"/>
        <v>31680</v>
      </c>
      <c r="K48" s="60">
        <v>10000</v>
      </c>
      <c r="L48" s="4">
        <v>11568</v>
      </c>
      <c r="M48" s="34">
        <v>10000</v>
      </c>
      <c r="N48" s="4">
        <v>5960</v>
      </c>
      <c r="O48" s="34">
        <v>10000</v>
      </c>
      <c r="P48" s="4">
        <v>17711</v>
      </c>
      <c r="Q48" s="151"/>
      <c r="R48" s="117">
        <f t="shared" si="19"/>
        <v>35239</v>
      </c>
      <c r="S48" s="151"/>
      <c r="T48" s="117">
        <f t="shared" si="20"/>
        <v>66919</v>
      </c>
      <c r="U48" s="60">
        <v>10000</v>
      </c>
      <c r="V48" s="4">
        <v>22985</v>
      </c>
      <c r="W48" s="34">
        <v>10000</v>
      </c>
      <c r="X48" s="4">
        <v>10053</v>
      </c>
      <c r="Y48" s="34">
        <v>10000</v>
      </c>
      <c r="Z48" s="4">
        <v>6693</v>
      </c>
      <c r="AA48" s="151"/>
      <c r="AB48" s="117">
        <f t="shared" si="21"/>
        <v>39731</v>
      </c>
      <c r="AC48" s="60">
        <v>10000</v>
      </c>
      <c r="AD48" s="4">
        <v>6060</v>
      </c>
      <c r="AE48" s="34">
        <v>10000</v>
      </c>
      <c r="AF48" s="4">
        <v>11400</v>
      </c>
      <c r="AG48" s="34">
        <v>10000</v>
      </c>
      <c r="AH48" s="4">
        <v>5840</v>
      </c>
      <c r="AI48" s="151">
        <f t="shared" si="22"/>
        <v>30000</v>
      </c>
      <c r="AJ48" s="117">
        <f t="shared" si="23"/>
        <v>23300</v>
      </c>
      <c r="AK48" s="151">
        <f t="shared" si="24"/>
        <v>30000</v>
      </c>
      <c r="AL48" s="117">
        <f t="shared" si="25"/>
        <v>63031</v>
      </c>
      <c r="AM48" s="129">
        <f t="shared" si="6"/>
        <v>120000</v>
      </c>
      <c r="AN48" s="117">
        <f t="shared" si="7"/>
        <v>129950</v>
      </c>
    </row>
    <row r="49" spans="1:40" ht="20.25" customHeight="1" x14ac:dyDescent="0.15">
      <c r="A49" s="23"/>
      <c r="B49" s="5" t="s">
        <v>51</v>
      </c>
      <c r="C49" s="34">
        <v>320000</v>
      </c>
      <c r="D49" s="4">
        <v>249820</v>
      </c>
      <c r="E49" s="34">
        <v>320000</v>
      </c>
      <c r="F49" s="4">
        <v>466500</v>
      </c>
      <c r="G49" s="34">
        <v>320000</v>
      </c>
      <c r="H49" s="4">
        <v>387820</v>
      </c>
      <c r="I49" s="151"/>
      <c r="J49" s="117">
        <f t="shared" si="18"/>
        <v>1104140</v>
      </c>
      <c r="K49" s="60">
        <v>320000</v>
      </c>
      <c r="L49" s="4">
        <v>486400</v>
      </c>
      <c r="M49" s="34">
        <v>320000</v>
      </c>
      <c r="N49" s="4">
        <v>266500</v>
      </c>
      <c r="O49" s="34">
        <v>320000</v>
      </c>
      <c r="P49" s="4">
        <v>335920</v>
      </c>
      <c r="Q49" s="151"/>
      <c r="R49" s="117">
        <f t="shared" si="19"/>
        <v>1088820</v>
      </c>
      <c r="S49" s="151"/>
      <c r="T49" s="117">
        <f t="shared" si="20"/>
        <v>2192960</v>
      </c>
      <c r="U49" s="60">
        <v>320000</v>
      </c>
      <c r="V49" s="4">
        <v>294340</v>
      </c>
      <c r="W49" s="34">
        <v>320000</v>
      </c>
      <c r="X49" s="4">
        <v>336400</v>
      </c>
      <c r="Y49" s="34">
        <v>320000</v>
      </c>
      <c r="Z49" s="4">
        <v>274900</v>
      </c>
      <c r="AA49" s="151"/>
      <c r="AB49" s="117">
        <f t="shared" si="21"/>
        <v>905640</v>
      </c>
      <c r="AC49" s="60">
        <v>320000</v>
      </c>
      <c r="AD49" s="4">
        <v>233600</v>
      </c>
      <c r="AE49" s="34">
        <v>320000</v>
      </c>
      <c r="AF49" s="4">
        <v>307420</v>
      </c>
      <c r="AG49" s="34">
        <v>320000</v>
      </c>
      <c r="AH49" s="4">
        <v>669316</v>
      </c>
      <c r="AI49" s="151">
        <f t="shared" si="22"/>
        <v>960000</v>
      </c>
      <c r="AJ49" s="117">
        <f t="shared" si="23"/>
        <v>1210336</v>
      </c>
      <c r="AK49" s="151">
        <f t="shared" si="24"/>
        <v>960000</v>
      </c>
      <c r="AL49" s="117">
        <f t="shared" si="25"/>
        <v>2115976</v>
      </c>
      <c r="AM49" s="129">
        <f t="shared" si="6"/>
        <v>3840000</v>
      </c>
      <c r="AN49" s="117">
        <f>SUM(D49,F49,H49,L49,N49,P49,V49,X49,Z49,AD49,AF49,AH49)</f>
        <v>4308936</v>
      </c>
    </row>
    <row r="50" spans="1:40" ht="20.25" customHeight="1" x14ac:dyDescent="0.15">
      <c r="A50" s="23"/>
      <c r="B50" s="5" t="s">
        <v>206</v>
      </c>
      <c r="C50" s="34">
        <v>0</v>
      </c>
      <c r="D50" s="4"/>
      <c r="E50" s="34">
        <v>0</v>
      </c>
      <c r="F50" s="4">
        <v>2982</v>
      </c>
      <c r="G50" s="34">
        <v>0</v>
      </c>
      <c r="H50" s="4"/>
      <c r="I50" s="151"/>
      <c r="J50" s="117">
        <f t="shared" si="18"/>
        <v>2982</v>
      </c>
      <c r="K50" s="60">
        <v>0</v>
      </c>
      <c r="L50" s="4">
        <v>3889</v>
      </c>
      <c r="M50" s="34">
        <v>0</v>
      </c>
      <c r="N50" s="4">
        <v>140308</v>
      </c>
      <c r="O50" s="34">
        <v>0</v>
      </c>
      <c r="P50" s="4">
        <v>2963</v>
      </c>
      <c r="Q50" s="151"/>
      <c r="R50" s="117">
        <f t="shared" si="19"/>
        <v>147160</v>
      </c>
      <c r="S50" s="151"/>
      <c r="T50" s="117">
        <f t="shared" si="20"/>
        <v>150142</v>
      </c>
      <c r="U50" s="60">
        <v>80000</v>
      </c>
      <c r="V50" s="4"/>
      <c r="W50" s="34">
        <v>0</v>
      </c>
      <c r="X50" s="4">
        <v>25695</v>
      </c>
      <c r="Y50" s="34">
        <v>0</v>
      </c>
      <c r="Z50" s="4">
        <v>25982</v>
      </c>
      <c r="AA50" s="151"/>
      <c r="AB50" s="117">
        <f t="shared" si="21"/>
        <v>51677</v>
      </c>
      <c r="AC50" s="60">
        <v>0</v>
      </c>
      <c r="AD50" s="4">
        <v>110172</v>
      </c>
      <c r="AE50" s="34">
        <v>150000</v>
      </c>
      <c r="AF50" s="4">
        <v>5823</v>
      </c>
      <c r="AG50" s="34">
        <v>0</v>
      </c>
      <c r="AH50" s="4">
        <v>26850</v>
      </c>
      <c r="AI50" s="151">
        <f t="shared" si="22"/>
        <v>150000</v>
      </c>
      <c r="AJ50" s="117">
        <f t="shared" si="23"/>
        <v>142845</v>
      </c>
      <c r="AK50" s="151">
        <f t="shared" si="24"/>
        <v>150000</v>
      </c>
      <c r="AL50" s="117">
        <f t="shared" si="25"/>
        <v>194522</v>
      </c>
      <c r="AM50" s="129">
        <f t="shared" si="6"/>
        <v>230000</v>
      </c>
      <c r="AN50" s="117">
        <f t="shared" si="7"/>
        <v>344664</v>
      </c>
    </row>
    <row r="51" spans="1:40" ht="20.25" customHeight="1" x14ac:dyDescent="0.15">
      <c r="A51" s="23"/>
      <c r="B51" s="5" t="s">
        <v>191</v>
      </c>
      <c r="C51" s="34">
        <v>0</v>
      </c>
      <c r="D51" s="4"/>
      <c r="E51" s="34">
        <v>0</v>
      </c>
      <c r="F51" s="4"/>
      <c r="G51" s="34">
        <v>0</v>
      </c>
      <c r="H51" s="4"/>
      <c r="I51" s="151"/>
      <c r="J51" s="117">
        <f t="shared" si="18"/>
        <v>0</v>
      </c>
      <c r="K51" s="60">
        <v>0</v>
      </c>
      <c r="L51" s="4"/>
      <c r="M51" s="34">
        <v>0</v>
      </c>
      <c r="N51" s="4"/>
      <c r="O51" s="34">
        <v>0</v>
      </c>
      <c r="P51" s="4"/>
      <c r="Q51" s="151"/>
      <c r="R51" s="117">
        <f t="shared" si="19"/>
        <v>0</v>
      </c>
      <c r="S51" s="151"/>
      <c r="T51" s="117">
        <f t="shared" si="20"/>
        <v>0</v>
      </c>
      <c r="U51" s="60">
        <v>0</v>
      </c>
      <c r="V51" s="4"/>
      <c r="W51" s="34">
        <v>0</v>
      </c>
      <c r="X51" s="4"/>
      <c r="Y51" s="34">
        <v>0</v>
      </c>
      <c r="Z51" s="4"/>
      <c r="AA51" s="151"/>
      <c r="AB51" s="117">
        <f t="shared" si="21"/>
        <v>0</v>
      </c>
      <c r="AC51" s="60">
        <v>0</v>
      </c>
      <c r="AD51" s="4"/>
      <c r="AE51" s="34">
        <v>0</v>
      </c>
      <c r="AF51" s="4"/>
      <c r="AG51" s="34">
        <v>0</v>
      </c>
      <c r="AH51" s="4"/>
      <c r="AI51" s="151">
        <f t="shared" si="22"/>
        <v>0</v>
      </c>
      <c r="AJ51" s="117">
        <f t="shared" si="23"/>
        <v>0</v>
      </c>
      <c r="AK51" s="151">
        <f t="shared" si="24"/>
        <v>0</v>
      </c>
      <c r="AL51" s="117">
        <f t="shared" si="25"/>
        <v>0</v>
      </c>
      <c r="AM51" s="129">
        <f t="shared" si="6"/>
        <v>0</v>
      </c>
      <c r="AN51" s="117">
        <f t="shared" si="7"/>
        <v>0</v>
      </c>
    </row>
    <row r="52" spans="1:40" ht="20.25" customHeight="1" x14ac:dyDescent="0.15">
      <c r="A52" s="23"/>
      <c r="B52" s="5" t="s">
        <v>185</v>
      </c>
      <c r="C52" s="34">
        <v>0</v>
      </c>
      <c r="D52" s="4"/>
      <c r="E52" s="34">
        <v>0</v>
      </c>
      <c r="F52" s="4"/>
      <c r="G52" s="34">
        <v>0</v>
      </c>
      <c r="H52" s="4"/>
      <c r="I52" s="151"/>
      <c r="J52" s="117">
        <f t="shared" si="18"/>
        <v>0</v>
      </c>
      <c r="K52" s="60">
        <v>0</v>
      </c>
      <c r="L52" s="4"/>
      <c r="M52" s="34">
        <v>0</v>
      </c>
      <c r="N52" s="4"/>
      <c r="O52" s="34">
        <v>0</v>
      </c>
      <c r="P52" s="4"/>
      <c r="Q52" s="151"/>
      <c r="R52" s="117">
        <f t="shared" si="19"/>
        <v>0</v>
      </c>
      <c r="S52" s="151"/>
      <c r="T52" s="117">
        <f t="shared" si="20"/>
        <v>0</v>
      </c>
      <c r="U52" s="60">
        <v>0</v>
      </c>
      <c r="V52" s="4"/>
      <c r="W52" s="34">
        <v>0</v>
      </c>
      <c r="X52" s="4">
        <v>10000</v>
      </c>
      <c r="Y52" s="34">
        <v>0</v>
      </c>
      <c r="Z52" s="4"/>
      <c r="AA52" s="151"/>
      <c r="AB52" s="117">
        <f t="shared" si="21"/>
        <v>10000</v>
      </c>
      <c r="AC52" s="60">
        <v>0</v>
      </c>
      <c r="AD52" s="4"/>
      <c r="AE52" s="34">
        <v>0</v>
      </c>
      <c r="AF52" s="4"/>
      <c r="AG52" s="34">
        <v>0</v>
      </c>
      <c r="AH52" s="4"/>
      <c r="AI52" s="151">
        <f t="shared" si="22"/>
        <v>0</v>
      </c>
      <c r="AJ52" s="117">
        <f t="shared" si="23"/>
        <v>0</v>
      </c>
      <c r="AK52" s="151">
        <f t="shared" si="24"/>
        <v>0</v>
      </c>
      <c r="AL52" s="117">
        <f t="shared" si="25"/>
        <v>10000</v>
      </c>
      <c r="AM52" s="129">
        <f t="shared" si="6"/>
        <v>0</v>
      </c>
      <c r="AN52" s="117">
        <f t="shared" si="7"/>
        <v>10000</v>
      </c>
    </row>
    <row r="53" spans="1:40" ht="20.25" customHeight="1" x14ac:dyDescent="0.15">
      <c r="A53" s="23"/>
      <c r="B53" s="5" t="s">
        <v>184</v>
      </c>
      <c r="C53" s="34">
        <v>0</v>
      </c>
      <c r="D53" s="4"/>
      <c r="E53" s="34">
        <v>0</v>
      </c>
      <c r="F53" s="4"/>
      <c r="G53" s="34">
        <v>0</v>
      </c>
      <c r="H53" s="4"/>
      <c r="I53" s="151"/>
      <c r="J53" s="117">
        <f t="shared" si="18"/>
        <v>0</v>
      </c>
      <c r="K53" s="60">
        <v>0</v>
      </c>
      <c r="L53" s="4"/>
      <c r="M53" s="34">
        <v>0</v>
      </c>
      <c r="N53" s="4"/>
      <c r="O53" s="34">
        <v>0</v>
      </c>
      <c r="P53" s="4"/>
      <c r="Q53" s="151"/>
      <c r="R53" s="117">
        <f t="shared" si="19"/>
        <v>0</v>
      </c>
      <c r="S53" s="151"/>
      <c r="T53" s="117">
        <f t="shared" si="20"/>
        <v>0</v>
      </c>
      <c r="U53" s="60">
        <v>0</v>
      </c>
      <c r="V53" s="4"/>
      <c r="W53" s="34">
        <v>0</v>
      </c>
      <c r="X53" s="4"/>
      <c r="Y53" s="34">
        <v>0</v>
      </c>
      <c r="Z53" s="4"/>
      <c r="AA53" s="151"/>
      <c r="AB53" s="117">
        <f t="shared" si="21"/>
        <v>0</v>
      </c>
      <c r="AC53" s="60">
        <v>0</v>
      </c>
      <c r="AD53" s="4"/>
      <c r="AE53" s="34">
        <v>0</v>
      </c>
      <c r="AF53" s="4"/>
      <c r="AG53" s="34">
        <v>0</v>
      </c>
      <c r="AH53" s="4"/>
      <c r="AI53" s="151">
        <f t="shared" si="22"/>
        <v>0</v>
      </c>
      <c r="AJ53" s="117">
        <f t="shared" si="23"/>
        <v>0</v>
      </c>
      <c r="AK53" s="151">
        <f t="shared" si="24"/>
        <v>0</v>
      </c>
      <c r="AL53" s="117">
        <f t="shared" si="25"/>
        <v>0</v>
      </c>
      <c r="AM53" s="129">
        <f t="shared" si="6"/>
        <v>0</v>
      </c>
      <c r="AN53" s="117">
        <f t="shared" si="7"/>
        <v>0</v>
      </c>
    </row>
    <row r="54" spans="1:40" ht="20.25" customHeight="1" x14ac:dyDescent="0.15">
      <c r="A54" s="23"/>
      <c r="B54" s="27" t="s">
        <v>186</v>
      </c>
      <c r="C54" s="188">
        <v>5000</v>
      </c>
      <c r="D54" s="189">
        <v>910</v>
      </c>
      <c r="E54" s="188">
        <v>5000</v>
      </c>
      <c r="F54" s="189">
        <v>20802</v>
      </c>
      <c r="G54" s="188">
        <v>5000</v>
      </c>
      <c r="H54" s="189">
        <v>15744</v>
      </c>
      <c r="I54" s="157"/>
      <c r="J54" s="158">
        <f t="shared" si="18"/>
        <v>37456</v>
      </c>
      <c r="K54" s="190">
        <v>5000</v>
      </c>
      <c r="L54" s="189">
        <v>20776</v>
      </c>
      <c r="M54" s="188">
        <v>5000</v>
      </c>
      <c r="N54" s="189">
        <v>14357</v>
      </c>
      <c r="O54" s="188">
        <v>5000</v>
      </c>
      <c r="P54" s="189">
        <v>26103</v>
      </c>
      <c r="Q54" s="157"/>
      <c r="R54" s="158">
        <f t="shared" si="19"/>
        <v>61236</v>
      </c>
      <c r="S54" s="157"/>
      <c r="T54" s="158">
        <f t="shared" si="20"/>
        <v>98692</v>
      </c>
      <c r="U54" s="190">
        <v>5000</v>
      </c>
      <c r="V54" s="189">
        <v>24555</v>
      </c>
      <c r="W54" s="188">
        <v>5000</v>
      </c>
      <c r="X54" s="189">
        <v>16818</v>
      </c>
      <c r="Y54" s="188">
        <v>5000</v>
      </c>
      <c r="Z54" s="189">
        <v>19233</v>
      </c>
      <c r="AA54" s="157"/>
      <c r="AB54" s="158">
        <f t="shared" si="21"/>
        <v>60606</v>
      </c>
      <c r="AC54" s="190">
        <v>5000</v>
      </c>
      <c r="AD54" s="189">
        <v>26521</v>
      </c>
      <c r="AE54" s="188">
        <v>5000</v>
      </c>
      <c r="AF54" s="189">
        <v>17632</v>
      </c>
      <c r="AG54" s="188">
        <v>5000</v>
      </c>
      <c r="AH54" s="189">
        <v>29071</v>
      </c>
      <c r="AI54" s="157">
        <f t="shared" si="22"/>
        <v>15000</v>
      </c>
      <c r="AJ54" s="158">
        <f t="shared" si="23"/>
        <v>73224</v>
      </c>
      <c r="AK54" s="157">
        <f t="shared" si="24"/>
        <v>15000</v>
      </c>
      <c r="AL54" s="158">
        <f t="shared" si="25"/>
        <v>133830</v>
      </c>
      <c r="AM54" s="159">
        <f t="shared" si="6"/>
        <v>60000</v>
      </c>
      <c r="AN54" s="158">
        <f t="shared" si="7"/>
        <v>232522</v>
      </c>
    </row>
    <row r="55" spans="1:40" ht="20.25" customHeight="1" x14ac:dyDescent="0.15">
      <c r="A55" s="191" t="s">
        <v>81</v>
      </c>
      <c r="B55" s="22" t="s">
        <v>188</v>
      </c>
      <c r="C55" s="192"/>
      <c r="D55" s="193"/>
      <c r="E55" s="192"/>
      <c r="F55" s="193"/>
      <c r="G55" s="192"/>
      <c r="H55" s="193"/>
      <c r="I55" s="198"/>
      <c r="J55" s="196">
        <f t="shared" si="18"/>
        <v>0</v>
      </c>
      <c r="K55" s="195"/>
      <c r="L55" s="193"/>
      <c r="M55" s="192"/>
      <c r="N55" s="193"/>
      <c r="O55" s="192"/>
      <c r="P55" s="193"/>
      <c r="Q55" s="198">
        <f t="shared" ref="Q55" si="26">K55+M55+O55</f>
        <v>0</v>
      </c>
      <c r="R55" s="196">
        <f t="shared" si="19"/>
        <v>0</v>
      </c>
      <c r="S55" s="198">
        <f t="shared" ref="S55" si="27">I55+Q55</f>
        <v>0</v>
      </c>
      <c r="T55" s="196">
        <f t="shared" si="20"/>
        <v>0</v>
      </c>
      <c r="U55" s="195"/>
      <c r="V55" s="193"/>
      <c r="W55" s="192"/>
      <c r="X55" s="193"/>
      <c r="Y55" s="192"/>
      <c r="Z55" s="193"/>
      <c r="AA55" s="198"/>
      <c r="AB55" s="196">
        <f t="shared" si="21"/>
        <v>0</v>
      </c>
      <c r="AC55" s="195"/>
      <c r="AD55" s="193"/>
      <c r="AE55" s="192"/>
      <c r="AF55" s="193"/>
      <c r="AG55" s="192"/>
      <c r="AH55" s="193"/>
      <c r="AI55" s="198">
        <f t="shared" ref="AI55:AJ57" si="28">AC55+AE55+AG55</f>
        <v>0</v>
      </c>
      <c r="AJ55" s="196">
        <f t="shared" si="28"/>
        <v>0</v>
      </c>
      <c r="AK55" s="198">
        <f t="shared" ref="AK55:AL57" si="29">AA55+AI55</f>
        <v>0</v>
      </c>
      <c r="AL55" s="196">
        <f t="shared" si="29"/>
        <v>0</v>
      </c>
      <c r="AM55" s="194">
        <f t="shared" si="6"/>
        <v>0</v>
      </c>
      <c r="AN55" s="196">
        <f t="shared" si="7"/>
        <v>0</v>
      </c>
    </row>
    <row r="56" spans="1:40" ht="20.25" customHeight="1" x14ac:dyDescent="0.15">
      <c r="A56" s="21"/>
      <c r="B56" s="5" t="s">
        <v>207</v>
      </c>
      <c r="C56" s="34"/>
      <c r="D56" s="4"/>
      <c r="E56" s="34"/>
      <c r="F56" s="4"/>
      <c r="G56" s="34"/>
      <c r="H56" s="4"/>
      <c r="I56" s="151"/>
      <c r="J56" s="117">
        <f t="shared" si="18"/>
        <v>0</v>
      </c>
      <c r="K56" s="60"/>
      <c r="L56" s="4"/>
      <c r="M56" s="34"/>
      <c r="N56" s="4"/>
      <c r="O56" s="34"/>
      <c r="P56" s="4"/>
      <c r="Q56" s="151"/>
      <c r="R56" s="117">
        <f t="shared" si="19"/>
        <v>0</v>
      </c>
      <c r="S56" s="151"/>
      <c r="T56" s="117">
        <f t="shared" si="20"/>
        <v>0</v>
      </c>
      <c r="U56" s="60"/>
      <c r="V56" s="4"/>
      <c r="W56" s="34"/>
      <c r="X56" s="4"/>
      <c r="Y56" s="34"/>
      <c r="Z56" s="4"/>
      <c r="AA56" s="151"/>
      <c r="AB56" s="117">
        <f t="shared" si="21"/>
        <v>0</v>
      </c>
      <c r="AC56" s="60"/>
      <c r="AD56" s="4"/>
      <c r="AE56" s="34"/>
      <c r="AF56" s="4"/>
      <c r="AG56" s="34"/>
      <c r="AH56" s="4"/>
      <c r="AI56" s="151"/>
      <c r="AJ56" s="117"/>
      <c r="AK56" s="151"/>
      <c r="AL56" s="117"/>
      <c r="AM56" s="129">
        <f t="shared" si="6"/>
        <v>0</v>
      </c>
      <c r="AN56" s="117">
        <f>SUM(D56,F56,H56,L56,N56,P56,V56,X56,Z56,AD56,AF56,AH56)</f>
        <v>0</v>
      </c>
    </row>
    <row r="57" spans="1:40" ht="20.25" customHeight="1" thickBot="1" x14ac:dyDescent="0.2">
      <c r="A57" s="21" t="s">
        <v>82</v>
      </c>
      <c r="B57" s="6" t="s">
        <v>74</v>
      </c>
      <c r="C57" s="34"/>
      <c r="D57" s="4"/>
      <c r="E57" s="34"/>
      <c r="F57" s="4"/>
      <c r="G57" s="34"/>
      <c r="H57" s="4"/>
      <c r="I57" s="151"/>
      <c r="J57" s="117">
        <f t="shared" si="18"/>
        <v>0</v>
      </c>
      <c r="K57" s="60">
        <v>100000</v>
      </c>
      <c r="L57" s="4">
        <v>82500</v>
      </c>
      <c r="M57" s="34"/>
      <c r="N57" s="4"/>
      <c r="O57" s="34">
        <v>100000</v>
      </c>
      <c r="P57" s="4">
        <v>80000</v>
      </c>
      <c r="Q57" s="151">
        <f>SUM(K57,M57,O57)</f>
        <v>200000</v>
      </c>
      <c r="R57" s="117">
        <f t="shared" si="19"/>
        <v>162500</v>
      </c>
      <c r="S57" s="151">
        <f>I57+Q57</f>
        <v>200000</v>
      </c>
      <c r="T57" s="117">
        <f t="shared" si="20"/>
        <v>162500</v>
      </c>
      <c r="U57" s="60"/>
      <c r="V57" s="4"/>
      <c r="W57" s="34"/>
      <c r="X57" s="4"/>
      <c r="Y57" s="34">
        <v>100000</v>
      </c>
      <c r="Z57" s="4"/>
      <c r="AA57" s="151"/>
      <c r="AB57" s="117">
        <f t="shared" si="21"/>
        <v>0</v>
      </c>
      <c r="AC57" s="60"/>
      <c r="AD57" s="4">
        <v>80000</v>
      </c>
      <c r="AE57" s="34"/>
      <c r="AF57" s="4"/>
      <c r="AG57" s="34"/>
      <c r="AH57" s="4"/>
      <c r="AI57" s="151">
        <f>AC57+AE57+AG57</f>
        <v>0</v>
      </c>
      <c r="AJ57" s="117">
        <f t="shared" si="28"/>
        <v>80000</v>
      </c>
      <c r="AK57" s="151">
        <f>AA57+AI57</f>
        <v>0</v>
      </c>
      <c r="AL57" s="117">
        <f t="shared" si="29"/>
        <v>80000</v>
      </c>
      <c r="AM57" s="129">
        <f t="shared" si="6"/>
        <v>300000</v>
      </c>
      <c r="AN57" s="117">
        <f t="shared" si="7"/>
        <v>242500</v>
      </c>
    </row>
    <row r="58" spans="1:40" ht="20.25" customHeight="1" thickTop="1" thickBot="1" x14ac:dyDescent="0.2">
      <c r="A58" s="24"/>
      <c r="B58" s="7" t="s">
        <v>27</v>
      </c>
      <c r="C58" s="40">
        <f t="shared" ref="C58:AL58" si="30">SUM(C33:C57)</f>
        <v>1018000</v>
      </c>
      <c r="D58" s="14">
        <f t="shared" si="30"/>
        <v>903667</v>
      </c>
      <c r="E58" s="40">
        <f t="shared" si="30"/>
        <v>1018000</v>
      </c>
      <c r="F58" s="14">
        <f t="shared" si="30"/>
        <v>1107572</v>
      </c>
      <c r="G58" s="40">
        <f t="shared" si="30"/>
        <v>1018000</v>
      </c>
      <c r="H58" s="14">
        <f t="shared" si="30"/>
        <v>1139677</v>
      </c>
      <c r="I58" s="40">
        <f>SUM(I33:I57)</f>
        <v>0</v>
      </c>
      <c r="J58" s="14">
        <f t="shared" ref="J58" si="31">D58+F58+H58</f>
        <v>3150916</v>
      </c>
      <c r="K58" s="66">
        <f t="shared" si="30"/>
        <v>1118000</v>
      </c>
      <c r="L58" s="14">
        <f t="shared" si="30"/>
        <v>1443366</v>
      </c>
      <c r="M58" s="40">
        <f t="shared" si="30"/>
        <v>1018000</v>
      </c>
      <c r="N58" s="14">
        <f t="shared" si="30"/>
        <v>911885</v>
      </c>
      <c r="O58" s="40">
        <f t="shared" si="30"/>
        <v>1118000</v>
      </c>
      <c r="P58" s="14">
        <f t="shared" si="30"/>
        <v>1140207</v>
      </c>
      <c r="Q58" s="40">
        <f t="shared" si="30"/>
        <v>200000</v>
      </c>
      <c r="R58" s="14">
        <f t="shared" si="30"/>
        <v>3495458</v>
      </c>
      <c r="S58" s="40">
        <f t="shared" si="30"/>
        <v>200000</v>
      </c>
      <c r="T58" s="14">
        <f t="shared" si="30"/>
        <v>6646374</v>
      </c>
      <c r="U58" s="66">
        <f t="shared" si="30"/>
        <v>1098000</v>
      </c>
      <c r="V58" s="14">
        <f t="shared" si="30"/>
        <v>1100099</v>
      </c>
      <c r="W58" s="40">
        <f t="shared" si="30"/>
        <v>1018000</v>
      </c>
      <c r="X58" s="14">
        <f t="shared" si="30"/>
        <v>1172002</v>
      </c>
      <c r="Y58" s="40">
        <f t="shared" si="30"/>
        <v>1118000</v>
      </c>
      <c r="Z58" s="14">
        <f t="shared" si="30"/>
        <v>1390492</v>
      </c>
      <c r="AA58" s="40">
        <f t="shared" si="30"/>
        <v>0</v>
      </c>
      <c r="AB58" s="14">
        <f t="shared" si="30"/>
        <v>3662593</v>
      </c>
      <c r="AC58" s="66">
        <f t="shared" si="30"/>
        <v>1018000</v>
      </c>
      <c r="AD58" s="14">
        <f t="shared" si="30"/>
        <v>1092441</v>
      </c>
      <c r="AE58" s="40">
        <f t="shared" si="30"/>
        <v>1168000</v>
      </c>
      <c r="AF58" s="14">
        <f t="shared" si="30"/>
        <v>1007214</v>
      </c>
      <c r="AG58" s="40">
        <f t="shared" si="30"/>
        <v>1018000</v>
      </c>
      <c r="AH58" s="14">
        <f t="shared" si="30"/>
        <v>1367320</v>
      </c>
      <c r="AI58" s="40">
        <f t="shared" si="30"/>
        <v>3204000</v>
      </c>
      <c r="AJ58" s="14">
        <f t="shared" si="30"/>
        <v>3466975</v>
      </c>
      <c r="AK58" s="40">
        <f t="shared" si="30"/>
        <v>3204000</v>
      </c>
      <c r="AL58" s="14">
        <f t="shared" si="30"/>
        <v>7129568</v>
      </c>
      <c r="AM58" s="66">
        <f t="shared" si="6"/>
        <v>12746000</v>
      </c>
      <c r="AN58" s="14">
        <f>SUM(D58,F58,H58,L58,N58,P58,V58,X58,Z58,AD58,AF58,AH58)</f>
        <v>13775942</v>
      </c>
    </row>
    <row r="59" spans="1:40" ht="20.25" customHeight="1" thickBot="1" x14ac:dyDescent="0.2">
      <c r="A59" s="212" t="s">
        <v>57</v>
      </c>
      <c r="B59" s="213"/>
      <c r="C59" s="41">
        <f t="shared" ref="C59:AL59" si="32">C32+C58</f>
        <v>2589000</v>
      </c>
      <c r="D59" s="15">
        <f t="shared" si="32"/>
        <v>2442857.5099999998</v>
      </c>
      <c r="E59" s="41">
        <f t="shared" si="32"/>
        <v>2589000</v>
      </c>
      <c r="F59" s="15">
        <f t="shared" si="32"/>
        <v>2645233.5099999998</v>
      </c>
      <c r="G59" s="41">
        <f t="shared" si="32"/>
        <v>2589000</v>
      </c>
      <c r="H59" s="15">
        <f t="shared" si="32"/>
        <v>2677338.5099999998</v>
      </c>
      <c r="I59" s="41">
        <f t="shared" si="32"/>
        <v>0</v>
      </c>
      <c r="J59" s="15">
        <f t="shared" si="32"/>
        <v>7765429.5300000003</v>
      </c>
      <c r="K59" s="67">
        <f t="shared" si="32"/>
        <v>2689000</v>
      </c>
      <c r="L59" s="15">
        <f t="shared" si="32"/>
        <v>3011297.51</v>
      </c>
      <c r="M59" s="41">
        <f t="shared" si="32"/>
        <v>2589000</v>
      </c>
      <c r="N59" s="15">
        <f t="shared" si="32"/>
        <v>3014176.56</v>
      </c>
      <c r="O59" s="41">
        <f t="shared" si="32"/>
        <v>2689000</v>
      </c>
      <c r="P59" s="15">
        <f t="shared" si="32"/>
        <v>3255112.06</v>
      </c>
      <c r="Q59" s="41">
        <f t="shared" si="32"/>
        <v>200000</v>
      </c>
      <c r="R59" s="15">
        <f t="shared" si="32"/>
        <v>9280586.129999999</v>
      </c>
      <c r="S59" s="41">
        <f t="shared" si="32"/>
        <v>200000</v>
      </c>
      <c r="T59" s="15">
        <f t="shared" si="32"/>
        <v>17046015.66</v>
      </c>
      <c r="U59" s="67">
        <f t="shared" si="32"/>
        <v>2669000</v>
      </c>
      <c r="V59" s="15">
        <f t="shared" si="32"/>
        <v>3215004.06</v>
      </c>
      <c r="W59" s="41">
        <f t="shared" si="32"/>
        <v>2589000</v>
      </c>
      <c r="X59" s="15">
        <f t="shared" si="32"/>
        <v>3297227.06</v>
      </c>
      <c r="Y59" s="41">
        <f t="shared" si="32"/>
        <v>2689000</v>
      </c>
      <c r="Z59" s="15">
        <f t="shared" si="32"/>
        <v>3515717.06</v>
      </c>
      <c r="AA59" s="41">
        <f t="shared" si="32"/>
        <v>0</v>
      </c>
      <c r="AB59" s="15">
        <f t="shared" si="32"/>
        <v>10027948.18</v>
      </c>
      <c r="AC59" s="67">
        <f t="shared" si="32"/>
        <v>2589000</v>
      </c>
      <c r="AD59" s="15">
        <f t="shared" si="32"/>
        <v>3217666.06</v>
      </c>
      <c r="AE59" s="41">
        <f t="shared" si="32"/>
        <v>2739000</v>
      </c>
      <c r="AF59" s="15">
        <f t="shared" si="32"/>
        <v>5032439.0600000005</v>
      </c>
      <c r="AG59" s="41">
        <f t="shared" si="32"/>
        <v>2589000</v>
      </c>
      <c r="AH59" s="15">
        <f t="shared" si="32"/>
        <v>3615399.5980000002</v>
      </c>
      <c r="AI59" s="41">
        <f t="shared" si="32"/>
        <v>7917000</v>
      </c>
      <c r="AJ59" s="15">
        <f t="shared" si="32"/>
        <v>11865504.718</v>
      </c>
      <c r="AK59" s="41">
        <f t="shared" si="32"/>
        <v>7917000</v>
      </c>
      <c r="AL59" s="15">
        <f t="shared" si="32"/>
        <v>21893452.898000002</v>
      </c>
      <c r="AM59" s="67">
        <f t="shared" si="6"/>
        <v>31598000</v>
      </c>
      <c r="AN59" s="15">
        <f t="shared" si="7"/>
        <v>38939468.557999991</v>
      </c>
    </row>
    <row r="60" spans="1:40" ht="20.25" customHeight="1" x14ac:dyDescent="0.15">
      <c r="A60" s="218" t="s">
        <v>75</v>
      </c>
      <c r="B60" s="219"/>
      <c r="C60" s="37">
        <f t="shared" ref="C60:AL60" si="33">C21-C59</f>
        <v>1649741.5000000019</v>
      </c>
      <c r="D60" s="9">
        <f t="shared" si="33"/>
        <v>2329326.4900000002</v>
      </c>
      <c r="E60" s="37">
        <f t="shared" si="33"/>
        <v>1831451.5</v>
      </c>
      <c r="F60" s="9">
        <f t="shared" si="33"/>
        <v>2659106.4900000002</v>
      </c>
      <c r="G60" s="37">
        <f t="shared" si="33"/>
        <v>2077271.5</v>
      </c>
      <c r="H60" s="9">
        <f t="shared" si="33"/>
        <v>2385651.4900000002</v>
      </c>
      <c r="I60" s="37">
        <f t="shared" si="33"/>
        <v>13325464.5</v>
      </c>
      <c r="J60" s="9">
        <f t="shared" si="33"/>
        <v>7374084.4699999997</v>
      </c>
      <c r="K60" s="63">
        <f t="shared" si="33"/>
        <v>2387401.4999999963</v>
      </c>
      <c r="L60" s="9">
        <f t="shared" si="33"/>
        <v>1971325.4900000002</v>
      </c>
      <c r="M60" s="37">
        <f t="shared" si="33"/>
        <v>2760821.5</v>
      </c>
      <c r="N60" s="9">
        <f t="shared" si="33"/>
        <v>980669.43999999994</v>
      </c>
      <c r="O60" s="37">
        <f t="shared" si="33"/>
        <v>2737531.4999999963</v>
      </c>
      <c r="P60" s="9">
        <f t="shared" si="33"/>
        <v>1106978.94</v>
      </c>
      <c r="Q60" s="37">
        <f t="shared" si="33"/>
        <v>15652754.499999985</v>
      </c>
      <c r="R60" s="9">
        <f t="shared" si="33"/>
        <v>4058973.870000001</v>
      </c>
      <c r="S60" s="37">
        <f t="shared" si="33"/>
        <v>28978218.99999997</v>
      </c>
      <c r="T60" s="9">
        <f t="shared" si="33"/>
        <v>11433058.34</v>
      </c>
      <c r="U60" s="63">
        <f t="shared" si="33"/>
        <v>2954241.5</v>
      </c>
      <c r="V60" s="9">
        <f t="shared" si="33"/>
        <v>1451909.94</v>
      </c>
      <c r="W60" s="37">
        <f t="shared" si="33"/>
        <v>3170951.5</v>
      </c>
      <c r="X60" s="9">
        <f t="shared" si="33"/>
        <v>2355943.94</v>
      </c>
      <c r="Y60" s="37">
        <f t="shared" si="33"/>
        <v>3607661.5</v>
      </c>
      <c r="Z60" s="9">
        <f t="shared" si="33"/>
        <v>1856513.94</v>
      </c>
      <c r="AA60" s="37">
        <f t="shared" si="33"/>
        <v>17679854.500000007</v>
      </c>
      <c r="AB60" s="9">
        <f t="shared" si="33"/>
        <v>5664367.8200000003</v>
      </c>
      <c r="AC60" s="63">
        <f t="shared" si="33"/>
        <v>3647661.5</v>
      </c>
      <c r="AD60" s="9">
        <f t="shared" si="33"/>
        <v>2067058.94</v>
      </c>
      <c r="AE60" s="37">
        <f t="shared" si="33"/>
        <v>3427661.5</v>
      </c>
      <c r="AF60" s="9">
        <f t="shared" si="33"/>
        <v>63902.939999999478</v>
      </c>
      <c r="AG60" s="37">
        <f t="shared" si="33"/>
        <v>3794371.4999999963</v>
      </c>
      <c r="AH60" s="9">
        <f t="shared" si="33"/>
        <v>1602458.4019999998</v>
      </c>
      <c r="AI60" s="37">
        <f t="shared" si="33"/>
        <v>10869694.5</v>
      </c>
      <c r="AJ60" s="9">
        <f t="shared" si="33"/>
        <v>3733420.2819999997</v>
      </c>
      <c r="AK60" s="37">
        <f t="shared" si="33"/>
        <v>28549549.00000003</v>
      </c>
      <c r="AL60" s="9">
        <f t="shared" si="33"/>
        <v>9397788.1019999981</v>
      </c>
      <c r="AM60" s="63">
        <f t="shared" si="6"/>
        <v>34046767.999999985</v>
      </c>
      <c r="AN60" s="9">
        <f>SUM(D60,F60,H60,L60,N60,P60,V60,X60,Z60,AD60,AF60,AH60)</f>
        <v>20830846.441999998</v>
      </c>
    </row>
    <row r="61" spans="1:40" s="16" customFormat="1" ht="20.25" customHeight="1" thickBot="1" x14ac:dyDescent="0.2">
      <c r="A61" s="210" t="s">
        <v>29</v>
      </c>
      <c r="B61" s="211"/>
      <c r="C61" s="38">
        <f t="shared" ref="C61:AN61" si="34">IF(C5=0,"        ― ",C60/C5)</f>
        <v>8.2772079964337303E-2</v>
      </c>
      <c r="D61" s="10">
        <f t="shared" si="34"/>
        <v>0.12440115249069714</v>
      </c>
      <c r="E61" s="38">
        <f t="shared" si="34"/>
        <v>8.8982581253111009E-2</v>
      </c>
      <c r="F61" s="10">
        <f t="shared" si="34"/>
        <v>0.12845898387747312</v>
      </c>
      <c r="G61" s="38">
        <f t="shared" si="34"/>
        <v>9.5147428320684166E-2</v>
      </c>
      <c r="H61" s="10">
        <f t="shared" si="34"/>
        <v>0.11887847091382266</v>
      </c>
      <c r="I61" s="38">
        <f t="shared" si="34"/>
        <v>0.21373611254911248</v>
      </c>
      <c r="J61" s="10">
        <f t="shared" si="34"/>
        <v>0.12395013963561194</v>
      </c>
      <c r="K61" s="64">
        <f t="shared" si="34"/>
        <v>0.1003736787703747</v>
      </c>
      <c r="L61" s="10">
        <f t="shared" si="34"/>
        <v>9.9490431166058407E-2</v>
      </c>
      <c r="M61" s="38">
        <f t="shared" si="34"/>
        <v>0.11004929419003007</v>
      </c>
      <c r="N61" s="10">
        <f t="shared" si="34"/>
        <v>4.9790256514377448E-2</v>
      </c>
      <c r="O61" s="38">
        <f t="shared" si="34"/>
        <v>0.10636091154234742</v>
      </c>
      <c r="P61" s="10">
        <f t="shared" si="34"/>
        <v>5.5903667915996852E-2</v>
      </c>
      <c r="Q61" s="38">
        <f t="shared" si="34"/>
        <v>0.20979318501219749</v>
      </c>
      <c r="R61" s="10">
        <f t="shared" si="34"/>
        <v>6.8434534847944303E-2</v>
      </c>
      <c r="S61" s="38">
        <f t="shared" si="34"/>
        <v>0.2115880954594038</v>
      </c>
      <c r="T61" s="10">
        <f t="shared" si="34"/>
        <v>9.6234525768390422E-2</v>
      </c>
      <c r="U61" s="64">
        <f t="shared" si="34"/>
        <v>0.11194916013730651</v>
      </c>
      <c r="V61" s="10">
        <f t="shared" si="34"/>
        <v>7.1181414144741967E-2</v>
      </c>
      <c r="W61" s="38">
        <f t="shared" si="34"/>
        <v>0.11726833094583293</v>
      </c>
      <c r="X61" s="10">
        <f t="shared" si="34"/>
        <v>0.11105402963667027</v>
      </c>
      <c r="Y61" s="38">
        <f t="shared" si="34"/>
        <v>0.12150635198014492</v>
      </c>
      <c r="Z61" s="10">
        <f t="shared" si="34"/>
        <v>9.2691785177953415E-2</v>
      </c>
      <c r="AA61" s="38">
        <f t="shared" si="34"/>
        <v>0.21270173671555145</v>
      </c>
      <c r="AB61" s="10">
        <f t="shared" si="34"/>
        <v>9.1893447965128702E-2</v>
      </c>
      <c r="AC61" s="64">
        <f t="shared" si="34"/>
        <v>0.12285355544676888</v>
      </c>
      <c r="AD61" s="10">
        <f t="shared" si="34"/>
        <v>0.10301814318555411</v>
      </c>
      <c r="AE61" s="38">
        <f t="shared" si="34"/>
        <v>0.11544393638033709</v>
      </c>
      <c r="AF61" s="10">
        <f t="shared" si="34"/>
        <v>3.2555551276149198E-3</v>
      </c>
      <c r="AG61" s="38">
        <f t="shared" si="34"/>
        <v>0.12505288438008716</v>
      </c>
      <c r="AH61" s="10">
        <f t="shared" si="34"/>
        <v>8.1557317578646191E-2</v>
      </c>
      <c r="AI61" s="38">
        <f t="shared" si="34"/>
        <v>0.12114535058772471</v>
      </c>
      <c r="AJ61" s="10">
        <f t="shared" si="34"/>
        <v>6.2913476745420305E-2</v>
      </c>
      <c r="AK61" s="38">
        <f t="shared" si="34"/>
        <v>0.16517446488558163</v>
      </c>
      <c r="AL61" s="10">
        <f t="shared" si="34"/>
        <v>7.7678747510647059E-2</v>
      </c>
      <c r="AM61" s="64">
        <f t="shared" si="34"/>
        <v>0.10989896663215194</v>
      </c>
      <c r="AN61" s="10">
        <f t="shared" si="34"/>
        <v>8.6872340852595556E-2</v>
      </c>
    </row>
    <row r="62" spans="1:40" s="18" customFormat="1" ht="20.25" hidden="1" customHeight="1" thickBot="1" x14ac:dyDescent="0.2">
      <c r="A62" s="237" t="s">
        <v>58</v>
      </c>
      <c r="B62" s="238"/>
      <c r="C62" s="42"/>
      <c r="D62" s="17"/>
      <c r="E62" s="42"/>
      <c r="F62" s="17"/>
      <c r="G62" s="42"/>
      <c r="H62" s="17"/>
      <c r="I62" s="41"/>
      <c r="J62" s="15"/>
      <c r="K62" s="68"/>
      <c r="L62" s="17"/>
      <c r="M62" s="42"/>
      <c r="N62" s="17"/>
      <c r="O62" s="42"/>
      <c r="P62" s="17"/>
      <c r="Q62" s="41"/>
      <c r="R62" s="15"/>
      <c r="S62" s="41"/>
      <c r="T62" s="15"/>
      <c r="U62" s="68"/>
      <c r="V62" s="17"/>
      <c r="W62" s="42"/>
      <c r="X62" s="17"/>
      <c r="Y62" s="42"/>
      <c r="Z62" s="17"/>
      <c r="AA62" s="41"/>
      <c r="AB62" s="15"/>
      <c r="AC62" s="68"/>
      <c r="AD62" s="17"/>
      <c r="AE62" s="42"/>
      <c r="AF62" s="17"/>
      <c r="AG62" s="42"/>
      <c r="AH62" s="17"/>
      <c r="AI62" s="41"/>
      <c r="AJ62" s="15"/>
      <c r="AK62" s="41"/>
      <c r="AL62" s="15"/>
      <c r="AM62" s="67"/>
      <c r="AN62" s="15"/>
    </row>
    <row r="63" spans="1:40" s="18" customFormat="1" ht="20.25" customHeight="1" thickBot="1" x14ac:dyDescent="0.2">
      <c r="A63" s="239" t="s">
        <v>59</v>
      </c>
      <c r="B63" s="240"/>
      <c r="C63" s="42">
        <f t="shared" ref="C63:AL63" si="35">C5*0.04</f>
        <v>797245.4</v>
      </c>
      <c r="D63" s="17">
        <f t="shared" si="35"/>
        <v>748972.64</v>
      </c>
      <c r="E63" s="42">
        <f t="shared" si="35"/>
        <v>823285.4</v>
      </c>
      <c r="F63" s="17">
        <f t="shared" si="35"/>
        <v>828001.72</v>
      </c>
      <c r="G63" s="42">
        <f t="shared" si="35"/>
        <v>873285.4</v>
      </c>
      <c r="H63" s="17">
        <f t="shared" si="35"/>
        <v>802719.44000000006</v>
      </c>
      <c r="I63" s="41">
        <f t="shared" si="35"/>
        <v>2493816.2000000002</v>
      </c>
      <c r="J63" s="15">
        <f t="shared" si="35"/>
        <v>2379693.8000000003</v>
      </c>
      <c r="K63" s="68">
        <f t="shared" si="35"/>
        <v>951405.4</v>
      </c>
      <c r="L63" s="17">
        <f t="shared" si="35"/>
        <v>792568.88</v>
      </c>
      <c r="M63" s="42">
        <f t="shared" si="35"/>
        <v>1003485.4</v>
      </c>
      <c r="N63" s="17">
        <f t="shared" si="35"/>
        <v>787840.44000000006</v>
      </c>
      <c r="O63" s="42">
        <f t="shared" si="35"/>
        <v>1029525.4</v>
      </c>
      <c r="P63" s="17">
        <f t="shared" si="35"/>
        <v>792061.76</v>
      </c>
      <c r="Q63" s="41">
        <f t="shared" si="35"/>
        <v>2984416.2</v>
      </c>
      <c r="R63" s="15">
        <f t="shared" si="35"/>
        <v>2372471.08</v>
      </c>
      <c r="S63" s="41">
        <f t="shared" si="35"/>
        <v>5478232.4000000004</v>
      </c>
      <c r="T63" s="15">
        <f t="shared" si="35"/>
        <v>4752164.88</v>
      </c>
      <c r="U63" s="68">
        <f t="shared" si="35"/>
        <v>1055565.3999999999</v>
      </c>
      <c r="V63" s="17">
        <f t="shared" si="35"/>
        <v>815892.72</v>
      </c>
      <c r="W63" s="42">
        <f t="shared" si="35"/>
        <v>1081605.3999999999</v>
      </c>
      <c r="X63" s="17">
        <f t="shared" si="35"/>
        <v>848575.76</v>
      </c>
      <c r="Y63" s="42">
        <f t="shared" si="35"/>
        <v>1187645.4000000001</v>
      </c>
      <c r="Z63" s="17">
        <f t="shared" si="35"/>
        <v>801155.76</v>
      </c>
      <c r="AA63" s="41">
        <f t="shared" si="35"/>
        <v>3324816.2</v>
      </c>
      <c r="AB63" s="15">
        <f t="shared" si="35"/>
        <v>2465624.2400000002</v>
      </c>
      <c r="AC63" s="68">
        <f t="shared" si="35"/>
        <v>1187645.4000000001</v>
      </c>
      <c r="AD63" s="17">
        <f t="shared" si="35"/>
        <v>802599.96</v>
      </c>
      <c r="AE63" s="42">
        <f t="shared" si="35"/>
        <v>1187645.4000000001</v>
      </c>
      <c r="AF63" s="17">
        <f t="shared" si="35"/>
        <v>785155.68</v>
      </c>
      <c r="AG63" s="42">
        <f t="shared" si="35"/>
        <v>1213685.4000000001</v>
      </c>
      <c r="AH63" s="17">
        <f t="shared" si="35"/>
        <v>785929.92</v>
      </c>
      <c r="AI63" s="41">
        <f t="shared" si="35"/>
        <v>3588976.2</v>
      </c>
      <c r="AJ63" s="15">
        <f t="shared" si="35"/>
        <v>2373685.56</v>
      </c>
      <c r="AK63" s="41">
        <f t="shared" si="35"/>
        <v>6913792.4000000004</v>
      </c>
      <c r="AL63" s="15">
        <f t="shared" si="35"/>
        <v>4839309.8</v>
      </c>
      <c r="AM63" s="67">
        <f t="shared" ref="AM63:AM64" si="36">SUM(C63,E63,G63,K63,M63,O63,U63,W63,Y63,AC63,AE63,AG63)</f>
        <v>12392024.800000003</v>
      </c>
      <c r="AN63" s="15">
        <f>AN5*0.04</f>
        <v>9591474.6799999997</v>
      </c>
    </row>
    <row r="64" spans="1:40" ht="20.25" customHeight="1" x14ac:dyDescent="0.15">
      <c r="A64" s="218" t="s">
        <v>60</v>
      </c>
      <c r="B64" s="219"/>
      <c r="C64" s="37">
        <f>C60-C63+C62</f>
        <v>852496.10000000184</v>
      </c>
      <c r="D64" s="9">
        <f t="shared" ref="D64:AL64" si="37">D60-D63+D62</f>
        <v>1580353.85</v>
      </c>
      <c r="E64" s="37">
        <f t="shared" si="37"/>
        <v>1008166.1</v>
      </c>
      <c r="F64" s="9">
        <f t="shared" si="37"/>
        <v>1831104.7700000003</v>
      </c>
      <c r="G64" s="37">
        <f t="shared" si="37"/>
        <v>1203986.1000000001</v>
      </c>
      <c r="H64" s="9">
        <f t="shared" si="37"/>
        <v>1582932.0500000003</v>
      </c>
      <c r="I64" s="37">
        <f t="shared" si="37"/>
        <v>10831648.300000001</v>
      </c>
      <c r="J64" s="9">
        <f>J60-J63+J62</f>
        <v>4994390.67</v>
      </c>
      <c r="K64" s="63">
        <f t="shared" si="37"/>
        <v>1435996.0999999964</v>
      </c>
      <c r="L64" s="9">
        <f t="shared" si="37"/>
        <v>1178756.6100000003</v>
      </c>
      <c r="M64" s="37">
        <f t="shared" si="37"/>
        <v>1757336.1</v>
      </c>
      <c r="N64" s="9">
        <f t="shared" si="37"/>
        <v>192828.99999999988</v>
      </c>
      <c r="O64" s="37">
        <f t="shared" si="37"/>
        <v>1708006.0999999964</v>
      </c>
      <c r="P64" s="9">
        <f t="shared" si="37"/>
        <v>314917.17999999993</v>
      </c>
      <c r="Q64" s="37">
        <f t="shared" si="37"/>
        <v>12668338.299999986</v>
      </c>
      <c r="R64" s="9">
        <f t="shared" si="37"/>
        <v>1686502.790000001</v>
      </c>
      <c r="S64" s="37">
        <f t="shared" si="37"/>
        <v>23499986.599999972</v>
      </c>
      <c r="T64" s="9">
        <f t="shared" si="37"/>
        <v>6680893.46</v>
      </c>
      <c r="U64" s="63">
        <f t="shared" si="37"/>
        <v>1898676.1</v>
      </c>
      <c r="V64" s="9">
        <f t="shared" si="37"/>
        <v>636017.22</v>
      </c>
      <c r="W64" s="37">
        <f t="shared" si="37"/>
        <v>2089346.1</v>
      </c>
      <c r="X64" s="9">
        <f t="shared" si="37"/>
        <v>1507368.18</v>
      </c>
      <c r="Y64" s="37">
        <f t="shared" si="37"/>
        <v>2420016.0999999996</v>
      </c>
      <c r="Z64" s="9">
        <f t="shared" si="37"/>
        <v>1055358.18</v>
      </c>
      <c r="AA64" s="37">
        <f t="shared" si="37"/>
        <v>14355038.300000008</v>
      </c>
      <c r="AB64" s="9">
        <f t="shared" si="37"/>
        <v>3198743.58</v>
      </c>
      <c r="AC64" s="63">
        <f t="shared" si="37"/>
        <v>2460016.0999999996</v>
      </c>
      <c r="AD64" s="9">
        <f t="shared" si="37"/>
        <v>1264458.98</v>
      </c>
      <c r="AE64" s="37">
        <f t="shared" si="37"/>
        <v>2240016.0999999996</v>
      </c>
      <c r="AF64" s="9">
        <f t="shared" si="37"/>
        <v>-721252.74000000057</v>
      </c>
      <c r="AG64" s="37">
        <f t="shared" si="37"/>
        <v>2580686.0999999959</v>
      </c>
      <c r="AH64" s="9">
        <f t="shared" si="37"/>
        <v>816528.48199999973</v>
      </c>
      <c r="AI64" s="37">
        <f t="shared" si="37"/>
        <v>7280718.2999999998</v>
      </c>
      <c r="AJ64" s="9">
        <f t="shared" si="37"/>
        <v>1359734.7219999996</v>
      </c>
      <c r="AK64" s="37">
        <f t="shared" si="37"/>
        <v>21635756.600000031</v>
      </c>
      <c r="AL64" s="9">
        <f t="shared" si="37"/>
        <v>4558478.3019999983</v>
      </c>
      <c r="AM64" s="63">
        <f t="shared" si="36"/>
        <v>21654743.199999988</v>
      </c>
      <c r="AN64" s="9">
        <f>AN60-AN63+AN62</f>
        <v>11239371.761999998</v>
      </c>
    </row>
    <row r="65" spans="1:40" s="16" customFormat="1" ht="20.25" customHeight="1" thickBot="1" x14ac:dyDescent="0.2">
      <c r="A65" s="210" t="s">
        <v>61</v>
      </c>
      <c r="B65" s="211"/>
      <c r="C65" s="38">
        <f t="shared" ref="C65:AN65" si="38">IF(C11=0,"        ― ",C64/C5)</f>
        <v>4.2772079964337295E-2</v>
      </c>
      <c r="D65" s="10">
        <f t="shared" si="38"/>
        <v>8.4401152490697129E-2</v>
      </c>
      <c r="E65" s="38">
        <f t="shared" si="38"/>
        <v>4.8982581253111009E-2</v>
      </c>
      <c r="F65" s="10">
        <f t="shared" si="38"/>
        <v>8.8458983877473113E-2</v>
      </c>
      <c r="G65" s="38">
        <f t="shared" si="38"/>
        <v>5.5147428320684172E-2</v>
      </c>
      <c r="H65" s="10">
        <f t="shared" si="38"/>
        <v>7.8878470913822663E-2</v>
      </c>
      <c r="I65" s="38">
        <f t="shared" si="38"/>
        <v>0.1737361125491125</v>
      </c>
      <c r="J65" s="10">
        <f t="shared" si="38"/>
        <v>8.3950139635611945E-2</v>
      </c>
      <c r="K65" s="64">
        <f t="shared" si="38"/>
        <v>6.0373678770374709E-2</v>
      </c>
      <c r="L65" s="10">
        <f t="shared" si="38"/>
        <v>5.9490431166058413E-2</v>
      </c>
      <c r="M65" s="38">
        <f t="shared" si="38"/>
        <v>7.0049294190030073E-2</v>
      </c>
      <c r="N65" s="10">
        <f t="shared" si="38"/>
        <v>9.7902565143774493E-3</v>
      </c>
      <c r="O65" s="38">
        <f t="shared" si="38"/>
        <v>6.6360911542347426E-2</v>
      </c>
      <c r="P65" s="10">
        <f t="shared" si="38"/>
        <v>1.5903667915996851E-2</v>
      </c>
      <c r="Q65" s="38">
        <f t="shared" si="38"/>
        <v>0.16979318501219751</v>
      </c>
      <c r="R65" s="10">
        <f t="shared" si="38"/>
        <v>2.8434534847944296E-2</v>
      </c>
      <c r="S65" s="38">
        <f t="shared" si="38"/>
        <v>0.17158809545940382</v>
      </c>
      <c r="T65" s="10">
        <f t="shared" si="38"/>
        <v>5.6234525768390428E-2</v>
      </c>
      <c r="U65" s="64">
        <f t="shared" si="38"/>
        <v>7.1949160137306511E-2</v>
      </c>
      <c r="V65" s="10">
        <f t="shared" si="38"/>
        <v>3.1181414144741969E-2</v>
      </c>
      <c r="W65" s="38">
        <f t="shared" si="38"/>
        <v>7.7268330945832936E-2</v>
      </c>
      <c r="X65" s="10">
        <f t="shared" si="38"/>
        <v>7.1054029636670263E-2</v>
      </c>
      <c r="Y65" s="38">
        <f t="shared" si="38"/>
        <v>8.15063519801449E-2</v>
      </c>
      <c r="Z65" s="10">
        <f t="shared" si="38"/>
        <v>5.2691785177953407E-2</v>
      </c>
      <c r="AA65" s="38">
        <f t="shared" si="38"/>
        <v>0.17270173671555147</v>
      </c>
      <c r="AB65" s="10">
        <f t="shared" si="38"/>
        <v>5.1893447965128701E-2</v>
      </c>
      <c r="AC65" s="64">
        <f t="shared" si="38"/>
        <v>8.2853555446768867E-2</v>
      </c>
      <c r="AD65" s="10">
        <f t="shared" si="38"/>
        <v>6.3018143185554112E-2</v>
      </c>
      <c r="AE65" s="38">
        <f t="shared" si="38"/>
        <v>7.5443936380337084E-2</v>
      </c>
      <c r="AF65" s="10">
        <f t="shared" si="38"/>
        <v>-3.6744444872385082E-2</v>
      </c>
      <c r="AG65" s="38">
        <f t="shared" si="38"/>
        <v>8.5052884380087165E-2</v>
      </c>
      <c r="AH65" s="10">
        <f t="shared" si="38"/>
        <v>4.1557317578646183E-2</v>
      </c>
      <c r="AI65" s="38">
        <f t="shared" si="38"/>
        <v>8.1145350587724707E-2</v>
      </c>
      <c r="AJ65" s="10">
        <f t="shared" si="38"/>
        <v>2.2913476745420311E-2</v>
      </c>
      <c r="AK65" s="38">
        <f t="shared" si="38"/>
        <v>0.12517446488558165</v>
      </c>
      <c r="AL65" s="10">
        <f t="shared" si="38"/>
        <v>3.7678747510647065E-2</v>
      </c>
      <c r="AM65" s="64">
        <f t="shared" si="38"/>
        <v>6.9898966632151963E-2</v>
      </c>
      <c r="AN65" s="10">
        <f t="shared" si="38"/>
        <v>4.6872340852595562E-2</v>
      </c>
    </row>
    <row r="66" spans="1:40" s="20" customFormat="1" ht="30" hidden="1" customHeight="1" thickBot="1" x14ac:dyDescent="0.2">
      <c r="A66" s="92" t="s">
        <v>62</v>
      </c>
      <c r="B66" s="93" t="s">
        <v>63</v>
      </c>
      <c r="C66" s="43"/>
      <c r="D66" s="19"/>
      <c r="E66" s="43"/>
      <c r="F66" s="19"/>
      <c r="G66" s="43"/>
      <c r="H66" s="55"/>
      <c r="I66" s="123"/>
      <c r="J66" s="136"/>
      <c r="K66" s="69"/>
      <c r="L66" s="19"/>
      <c r="M66" s="43"/>
      <c r="N66" s="19"/>
      <c r="O66" s="43"/>
      <c r="P66" s="55"/>
      <c r="Q66" s="123"/>
      <c r="R66" s="124"/>
      <c r="S66" s="147"/>
      <c r="T66" s="148"/>
      <c r="U66" s="69"/>
      <c r="V66" s="19"/>
      <c r="W66" s="43"/>
      <c r="X66" s="19"/>
      <c r="Y66" s="43"/>
      <c r="Z66" s="55"/>
      <c r="AA66" s="141"/>
      <c r="AB66" s="142"/>
      <c r="AC66" s="69"/>
      <c r="AD66" s="19"/>
      <c r="AE66" s="43"/>
      <c r="AF66" s="19"/>
      <c r="AG66" s="43"/>
      <c r="AH66" s="55"/>
      <c r="AI66" s="143"/>
      <c r="AJ66" s="124"/>
      <c r="AK66" s="125"/>
      <c r="AL66" s="126"/>
      <c r="AM66" s="131"/>
      <c r="AN66" s="132"/>
    </row>
  </sheetData>
  <mergeCells count="36">
    <mergeCell ref="C1:I1"/>
    <mergeCell ref="K1:S1"/>
    <mergeCell ref="U1:AA1"/>
    <mergeCell ref="AC1:AN1"/>
    <mergeCell ref="A2:B2"/>
    <mergeCell ref="A21:B21"/>
    <mergeCell ref="W3:X3"/>
    <mergeCell ref="Y3:Z3"/>
    <mergeCell ref="AA3:AB3"/>
    <mergeCell ref="AC3:AD3"/>
    <mergeCell ref="K3:L3"/>
    <mergeCell ref="M3:N3"/>
    <mergeCell ref="O3:P3"/>
    <mergeCell ref="Q3:R3"/>
    <mergeCell ref="S3:T3"/>
    <mergeCell ref="U3:V3"/>
    <mergeCell ref="A3:B3"/>
    <mergeCell ref="C3:D3"/>
    <mergeCell ref="E3:F3"/>
    <mergeCell ref="G3:H3"/>
    <mergeCell ref="I3:J3"/>
    <mergeCell ref="AI3:AJ3"/>
    <mergeCell ref="AK3:AL3"/>
    <mergeCell ref="AM3:AN3"/>
    <mergeCell ref="A4:B4"/>
    <mergeCell ref="A5:B5"/>
    <mergeCell ref="AE3:AF3"/>
    <mergeCell ref="AG3:AH3"/>
    <mergeCell ref="A64:B64"/>
    <mergeCell ref="A65:B65"/>
    <mergeCell ref="A22:B22"/>
    <mergeCell ref="A59:B59"/>
    <mergeCell ref="A60:B60"/>
    <mergeCell ref="A61:B61"/>
    <mergeCell ref="A62:B62"/>
    <mergeCell ref="A63:B63"/>
  </mergeCells>
  <phoneticPr fontId="3"/>
  <printOptions horizontalCentered="1"/>
  <pageMargins left="0.23622047244094491" right="0.23622047244094491" top="0.55118110236220474" bottom="0.15748031496062992" header="0.31496062992125984" footer="0.31496062992125984"/>
  <pageSetup paperSize="8" scale="52" orientation="landscape" r:id="rId1"/>
  <headerFooter alignWithMargins="0">
    <oddHeader xml:space="preserve">&amp;C&amp;"-,太字"&amp;20第22期　売上・粗利・経費　実績 計画&amp;R
</oddHeader>
    <oddFooter xml:space="preserve">&amp;R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AN65"/>
  <sheetViews>
    <sheetView view="pageBreakPreview" zoomScale="70" zoomScaleNormal="100" zoomScaleSheetLayoutView="70" workbookViewId="0">
      <pane xSplit="2" ySplit="1" topLeftCell="F2" activePane="bottomRight" state="frozen"/>
      <selection activeCell="X29" sqref="X29"/>
      <selection pane="topRight" activeCell="X29" sqref="X29"/>
      <selection pane="bottomLeft" activeCell="X29" sqref="X29"/>
      <selection pane="bottomRight" sqref="A1:XFD1048576"/>
    </sheetView>
  </sheetViews>
  <sheetFormatPr defaultRowHeight="14.25" outlineLevelCol="2" x14ac:dyDescent="0.15"/>
  <cols>
    <col min="1" max="1" width="9" style="2" customWidth="1"/>
    <col min="2" max="2" width="18.625" style="2" customWidth="1"/>
    <col min="3" max="3" width="13.25" style="2" customWidth="1" outlineLevel="2"/>
    <col min="4" max="4" width="13.25" style="2" customWidth="1" outlineLevel="1"/>
    <col min="5" max="5" width="13.25" style="2" customWidth="1" outlineLevel="2"/>
    <col min="6" max="6" width="13.25" style="2" customWidth="1" outlineLevel="1"/>
    <col min="7" max="7" width="13.25" style="2" customWidth="1" outlineLevel="2"/>
    <col min="8" max="8" width="13.25" style="2" customWidth="1" outlineLevel="1"/>
    <col min="9" max="10" width="13.25" style="2" hidden="1" customWidth="1"/>
    <col min="11" max="11" width="13.25" style="2" customWidth="1" outlineLevel="2"/>
    <col min="12" max="12" width="13.25" style="2" customWidth="1" outlineLevel="1"/>
    <col min="13" max="13" width="13.25" style="2" customWidth="1" outlineLevel="2"/>
    <col min="14" max="14" width="13.25" style="2" customWidth="1" outlineLevel="1"/>
    <col min="15" max="15" width="13.25" style="2" customWidth="1" outlineLevel="2"/>
    <col min="16" max="16" width="13.25" style="2" customWidth="1" outlineLevel="1"/>
    <col min="17" max="20" width="13.25" style="2" hidden="1" customWidth="1"/>
    <col min="21" max="21" width="13.25" style="2" customWidth="1" outlineLevel="2"/>
    <col min="22" max="22" width="13.25" style="2" customWidth="1" outlineLevel="1"/>
    <col min="23" max="23" width="13.25" style="2" customWidth="1" outlineLevel="2"/>
    <col min="24" max="24" width="13.25" style="2" customWidth="1" outlineLevel="1"/>
    <col min="25" max="25" width="13.25" style="2" customWidth="1" outlineLevel="2"/>
    <col min="26" max="26" width="13.25" style="2" customWidth="1" outlineLevel="1"/>
    <col min="27" max="28" width="13.25" style="2" hidden="1" customWidth="1"/>
    <col min="29" max="29" width="13.25" style="2" customWidth="1" outlineLevel="2"/>
    <col min="30" max="30" width="13.25" style="2" customWidth="1" outlineLevel="1"/>
    <col min="31" max="31" width="13.25" style="2" customWidth="1" outlineLevel="2"/>
    <col min="32" max="32" width="13.25" style="2" customWidth="1" outlineLevel="1"/>
    <col min="33" max="33" width="13.25" style="2" customWidth="1" outlineLevel="2"/>
    <col min="34" max="34" width="13.25" style="2" customWidth="1" outlineLevel="1"/>
    <col min="35" max="38" width="13.25" style="2" hidden="1" customWidth="1"/>
    <col min="39" max="40" width="13.25" style="2" customWidth="1"/>
    <col min="41" max="274" width="9" style="2"/>
    <col min="275" max="275" width="9" style="2" customWidth="1"/>
    <col min="276" max="276" width="18.625" style="2" customWidth="1"/>
    <col min="277" max="277" width="0" style="2" hidden="1" customWidth="1"/>
    <col min="278" max="296" width="13.25" style="2" customWidth="1"/>
    <col min="297" max="530" width="9" style="2"/>
    <col min="531" max="531" width="9" style="2" customWidth="1"/>
    <col min="532" max="532" width="18.625" style="2" customWidth="1"/>
    <col min="533" max="533" width="0" style="2" hidden="1" customWidth="1"/>
    <col min="534" max="552" width="13.25" style="2" customWidth="1"/>
    <col min="553" max="786" width="9" style="2"/>
    <col min="787" max="787" width="9" style="2" customWidth="1"/>
    <col min="788" max="788" width="18.625" style="2" customWidth="1"/>
    <col min="789" max="789" width="0" style="2" hidden="1" customWidth="1"/>
    <col min="790" max="808" width="13.25" style="2" customWidth="1"/>
    <col min="809" max="1042" width="9" style="2"/>
    <col min="1043" max="1043" width="9" style="2" customWidth="1"/>
    <col min="1044" max="1044" width="18.625" style="2" customWidth="1"/>
    <col min="1045" max="1045" width="0" style="2" hidden="1" customWidth="1"/>
    <col min="1046" max="1064" width="13.25" style="2" customWidth="1"/>
    <col min="1065" max="1298" width="9" style="2"/>
    <col min="1299" max="1299" width="9" style="2" customWidth="1"/>
    <col min="1300" max="1300" width="18.625" style="2" customWidth="1"/>
    <col min="1301" max="1301" width="0" style="2" hidden="1" customWidth="1"/>
    <col min="1302" max="1320" width="13.25" style="2" customWidth="1"/>
    <col min="1321" max="1554" width="9" style="2"/>
    <col min="1555" max="1555" width="9" style="2" customWidth="1"/>
    <col min="1556" max="1556" width="18.625" style="2" customWidth="1"/>
    <col min="1557" max="1557" width="0" style="2" hidden="1" customWidth="1"/>
    <col min="1558" max="1576" width="13.25" style="2" customWidth="1"/>
    <col min="1577" max="1810" width="9" style="2"/>
    <col min="1811" max="1811" width="9" style="2" customWidth="1"/>
    <col min="1812" max="1812" width="18.625" style="2" customWidth="1"/>
    <col min="1813" max="1813" width="0" style="2" hidden="1" customWidth="1"/>
    <col min="1814" max="1832" width="13.25" style="2" customWidth="1"/>
    <col min="1833" max="2066" width="9" style="2"/>
    <col min="2067" max="2067" width="9" style="2" customWidth="1"/>
    <col min="2068" max="2068" width="18.625" style="2" customWidth="1"/>
    <col min="2069" max="2069" width="0" style="2" hidden="1" customWidth="1"/>
    <col min="2070" max="2088" width="13.25" style="2" customWidth="1"/>
    <col min="2089" max="2322" width="9" style="2"/>
    <col min="2323" max="2323" width="9" style="2" customWidth="1"/>
    <col min="2324" max="2324" width="18.625" style="2" customWidth="1"/>
    <col min="2325" max="2325" width="0" style="2" hidden="1" customWidth="1"/>
    <col min="2326" max="2344" width="13.25" style="2" customWidth="1"/>
    <col min="2345" max="2578" width="9" style="2"/>
    <col min="2579" max="2579" width="9" style="2" customWidth="1"/>
    <col min="2580" max="2580" width="18.625" style="2" customWidth="1"/>
    <col min="2581" max="2581" width="0" style="2" hidden="1" customWidth="1"/>
    <col min="2582" max="2600" width="13.25" style="2" customWidth="1"/>
    <col min="2601" max="2834" width="9" style="2"/>
    <col min="2835" max="2835" width="9" style="2" customWidth="1"/>
    <col min="2836" max="2836" width="18.625" style="2" customWidth="1"/>
    <col min="2837" max="2837" width="0" style="2" hidden="1" customWidth="1"/>
    <col min="2838" max="2856" width="13.25" style="2" customWidth="1"/>
    <col min="2857" max="3090" width="9" style="2"/>
    <col min="3091" max="3091" width="9" style="2" customWidth="1"/>
    <col min="3092" max="3092" width="18.625" style="2" customWidth="1"/>
    <col min="3093" max="3093" width="0" style="2" hidden="1" customWidth="1"/>
    <col min="3094" max="3112" width="13.25" style="2" customWidth="1"/>
    <col min="3113" max="3346" width="9" style="2"/>
    <col min="3347" max="3347" width="9" style="2" customWidth="1"/>
    <col min="3348" max="3348" width="18.625" style="2" customWidth="1"/>
    <col min="3349" max="3349" width="0" style="2" hidden="1" customWidth="1"/>
    <col min="3350" max="3368" width="13.25" style="2" customWidth="1"/>
    <col min="3369" max="3602" width="9" style="2"/>
    <col min="3603" max="3603" width="9" style="2" customWidth="1"/>
    <col min="3604" max="3604" width="18.625" style="2" customWidth="1"/>
    <col min="3605" max="3605" width="0" style="2" hidden="1" customWidth="1"/>
    <col min="3606" max="3624" width="13.25" style="2" customWidth="1"/>
    <col min="3625" max="3858" width="9" style="2"/>
    <col min="3859" max="3859" width="9" style="2" customWidth="1"/>
    <col min="3860" max="3860" width="18.625" style="2" customWidth="1"/>
    <col min="3861" max="3861" width="0" style="2" hidden="1" customWidth="1"/>
    <col min="3862" max="3880" width="13.25" style="2" customWidth="1"/>
    <col min="3881" max="4114" width="9" style="2"/>
    <col min="4115" max="4115" width="9" style="2" customWidth="1"/>
    <col min="4116" max="4116" width="18.625" style="2" customWidth="1"/>
    <col min="4117" max="4117" width="0" style="2" hidden="1" customWidth="1"/>
    <col min="4118" max="4136" width="13.25" style="2" customWidth="1"/>
    <col min="4137" max="4370" width="9" style="2"/>
    <col min="4371" max="4371" width="9" style="2" customWidth="1"/>
    <col min="4372" max="4372" width="18.625" style="2" customWidth="1"/>
    <col min="4373" max="4373" width="0" style="2" hidden="1" customWidth="1"/>
    <col min="4374" max="4392" width="13.25" style="2" customWidth="1"/>
    <col min="4393" max="4626" width="9" style="2"/>
    <col min="4627" max="4627" width="9" style="2" customWidth="1"/>
    <col min="4628" max="4628" width="18.625" style="2" customWidth="1"/>
    <col min="4629" max="4629" width="0" style="2" hidden="1" customWidth="1"/>
    <col min="4630" max="4648" width="13.25" style="2" customWidth="1"/>
    <col min="4649" max="4882" width="9" style="2"/>
    <col min="4883" max="4883" width="9" style="2" customWidth="1"/>
    <col min="4884" max="4884" width="18.625" style="2" customWidth="1"/>
    <col min="4885" max="4885" width="0" style="2" hidden="1" customWidth="1"/>
    <col min="4886" max="4904" width="13.25" style="2" customWidth="1"/>
    <col min="4905" max="5138" width="9" style="2"/>
    <col min="5139" max="5139" width="9" style="2" customWidth="1"/>
    <col min="5140" max="5140" width="18.625" style="2" customWidth="1"/>
    <col min="5141" max="5141" width="0" style="2" hidden="1" customWidth="1"/>
    <col min="5142" max="5160" width="13.25" style="2" customWidth="1"/>
    <col min="5161" max="5394" width="9" style="2"/>
    <col min="5395" max="5395" width="9" style="2" customWidth="1"/>
    <col min="5396" max="5396" width="18.625" style="2" customWidth="1"/>
    <col min="5397" max="5397" width="0" style="2" hidden="1" customWidth="1"/>
    <col min="5398" max="5416" width="13.25" style="2" customWidth="1"/>
    <col min="5417" max="5650" width="9" style="2"/>
    <col min="5651" max="5651" width="9" style="2" customWidth="1"/>
    <col min="5652" max="5652" width="18.625" style="2" customWidth="1"/>
    <col min="5653" max="5653" width="0" style="2" hidden="1" customWidth="1"/>
    <col min="5654" max="5672" width="13.25" style="2" customWidth="1"/>
    <col min="5673" max="5906" width="9" style="2"/>
    <col min="5907" max="5907" width="9" style="2" customWidth="1"/>
    <col min="5908" max="5908" width="18.625" style="2" customWidth="1"/>
    <col min="5909" max="5909" width="0" style="2" hidden="1" customWidth="1"/>
    <col min="5910" max="5928" width="13.25" style="2" customWidth="1"/>
    <col min="5929" max="6162" width="9" style="2"/>
    <col min="6163" max="6163" width="9" style="2" customWidth="1"/>
    <col min="6164" max="6164" width="18.625" style="2" customWidth="1"/>
    <col min="6165" max="6165" width="0" style="2" hidden="1" customWidth="1"/>
    <col min="6166" max="6184" width="13.25" style="2" customWidth="1"/>
    <col min="6185" max="6418" width="9" style="2"/>
    <col min="6419" max="6419" width="9" style="2" customWidth="1"/>
    <col min="6420" max="6420" width="18.625" style="2" customWidth="1"/>
    <col min="6421" max="6421" width="0" style="2" hidden="1" customWidth="1"/>
    <col min="6422" max="6440" width="13.25" style="2" customWidth="1"/>
    <col min="6441" max="6674" width="9" style="2"/>
    <col min="6675" max="6675" width="9" style="2" customWidth="1"/>
    <col min="6676" max="6676" width="18.625" style="2" customWidth="1"/>
    <col min="6677" max="6677" width="0" style="2" hidden="1" customWidth="1"/>
    <col min="6678" max="6696" width="13.25" style="2" customWidth="1"/>
    <col min="6697" max="6930" width="9" style="2"/>
    <col min="6931" max="6931" width="9" style="2" customWidth="1"/>
    <col min="6932" max="6932" width="18.625" style="2" customWidth="1"/>
    <col min="6933" max="6933" width="0" style="2" hidden="1" customWidth="1"/>
    <col min="6934" max="6952" width="13.25" style="2" customWidth="1"/>
    <col min="6953" max="7186" width="9" style="2"/>
    <col min="7187" max="7187" width="9" style="2" customWidth="1"/>
    <col min="7188" max="7188" width="18.625" style="2" customWidth="1"/>
    <col min="7189" max="7189" width="0" style="2" hidden="1" customWidth="1"/>
    <col min="7190" max="7208" width="13.25" style="2" customWidth="1"/>
    <col min="7209" max="7442" width="9" style="2"/>
    <col min="7443" max="7443" width="9" style="2" customWidth="1"/>
    <col min="7444" max="7444" width="18.625" style="2" customWidth="1"/>
    <col min="7445" max="7445" width="0" style="2" hidden="1" customWidth="1"/>
    <col min="7446" max="7464" width="13.25" style="2" customWidth="1"/>
    <col min="7465" max="7698" width="9" style="2"/>
    <col min="7699" max="7699" width="9" style="2" customWidth="1"/>
    <col min="7700" max="7700" width="18.625" style="2" customWidth="1"/>
    <col min="7701" max="7701" width="0" style="2" hidden="1" customWidth="1"/>
    <col min="7702" max="7720" width="13.25" style="2" customWidth="1"/>
    <col min="7721" max="7954" width="9" style="2"/>
    <col min="7955" max="7955" width="9" style="2" customWidth="1"/>
    <col min="7956" max="7956" width="18.625" style="2" customWidth="1"/>
    <col min="7957" max="7957" width="0" style="2" hidden="1" customWidth="1"/>
    <col min="7958" max="7976" width="13.25" style="2" customWidth="1"/>
    <col min="7977" max="8210" width="9" style="2"/>
    <col min="8211" max="8211" width="9" style="2" customWidth="1"/>
    <col min="8212" max="8212" width="18.625" style="2" customWidth="1"/>
    <col min="8213" max="8213" width="0" style="2" hidden="1" customWidth="1"/>
    <col min="8214" max="8232" width="13.25" style="2" customWidth="1"/>
    <col min="8233" max="8466" width="9" style="2"/>
    <col min="8467" max="8467" width="9" style="2" customWidth="1"/>
    <col min="8468" max="8468" width="18.625" style="2" customWidth="1"/>
    <col min="8469" max="8469" width="0" style="2" hidden="1" customWidth="1"/>
    <col min="8470" max="8488" width="13.25" style="2" customWidth="1"/>
    <col min="8489" max="8722" width="9" style="2"/>
    <col min="8723" max="8723" width="9" style="2" customWidth="1"/>
    <col min="8724" max="8724" width="18.625" style="2" customWidth="1"/>
    <col min="8725" max="8725" width="0" style="2" hidden="1" customWidth="1"/>
    <col min="8726" max="8744" width="13.25" style="2" customWidth="1"/>
    <col min="8745" max="8978" width="9" style="2"/>
    <col min="8979" max="8979" width="9" style="2" customWidth="1"/>
    <col min="8980" max="8980" width="18.625" style="2" customWidth="1"/>
    <col min="8981" max="8981" width="0" style="2" hidden="1" customWidth="1"/>
    <col min="8982" max="9000" width="13.25" style="2" customWidth="1"/>
    <col min="9001" max="9234" width="9" style="2"/>
    <col min="9235" max="9235" width="9" style="2" customWidth="1"/>
    <col min="9236" max="9236" width="18.625" style="2" customWidth="1"/>
    <col min="9237" max="9237" width="0" style="2" hidden="1" customWidth="1"/>
    <col min="9238" max="9256" width="13.25" style="2" customWidth="1"/>
    <col min="9257" max="9490" width="9" style="2"/>
    <col min="9491" max="9491" width="9" style="2" customWidth="1"/>
    <col min="9492" max="9492" width="18.625" style="2" customWidth="1"/>
    <col min="9493" max="9493" width="0" style="2" hidden="1" customWidth="1"/>
    <col min="9494" max="9512" width="13.25" style="2" customWidth="1"/>
    <col min="9513" max="9746" width="9" style="2"/>
    <col min="9747" max="9747" width="9" style="2" customWidth="1"/>
    <col min="9748" max="9748" width="18.625" style="2" customWidth="1"/>
    <col min="9749" max="9749" width="0" style="2" hidden="1" customWidth="1"/>
    <col min="9750" max="9768" width="13.25" style="2" customWidth="1"/>
    <col min="9769" max="10002" width="9" style="2"/>
    <col min="10003" max="10003" width="9" style="2" customWidth="1"/>
    <col min="10004" max="10004" width="18.625" style="2" customWidth="1"/>
    <col min="10005" max="10005" width="0" style="2" hidden="1" customWidth="1"/>
    <col min="10006" max="10024" width="13.25" style="2" customWidth="1"/>
    <col min="10025" max="10258" width="9" style="2"/>
    <col min="10259" max="10259" width="9" style="2" customWidth="1"/>
    <col min="10260" max="10260" width="18.625" style="2" customWidth="1"/>
    <col min="10261" max="10261" width="0" style="2" hidden="1" customWidth="1"/>
    <col min="10262" max="10280" width="13.25" style="2" customWidth="1"/>
    <col min="10281" max="10514" width="9" style="2"/>
    <col min="10515" max="10515" width="9" style="2" customWidth="1"/>
    <col min="10516" max="10516" width="18.625" style="2" customWidth="1"/>
    <col min="10517" max="10517" width="0" style="2" hidden="1" customWidth="1"/>
    <col min="10518" max="10536" width="13.25" style="2" customWidth="1"/>
    <col min="10537" max="10770" width="9" style="2"/>
    <col min="10771" max="10771" width="9" style="2" customWidth="1"/>
    <col min="10772" max="10772" width="18.625" style="2" customWidth="1"/>
    <col min="10773" max="10773" width="0" style="2" hidden="1" customWidth="1"/>
    <col min="10774" max="10792" width="13.25" style="2" customWidth="1"/>
    <col min="10793" max="11026" width="9" style="2"/>
    <col min="11027" max="11027" width="9" style="2" customWidth="1"/>
    <col min="11028" max="11028" width="18.625" style="2" customWidth="1"/>
    <col min="11029" max="11029" width="0" style="2" hidden="1" customWidth="1"/>
    <col min="11030" max="11048" width="13.25" style="2" customWidth="1"/>
    <col min="11049" max="11282" width="9" style="2"/>
    <col min="11283" max="11283" width="9" style="2" customWidth="1"/>
    <col min="11284" max="11284" width="18.625" style="2" customWidth="1"/>
    <col min="11285" max="11285" width="0" style="2" hidden="1" customWidth="1"/>
    <col min="11286" max="11304" width="13.25" style="2" customWidth="1"/>
    <col min="11305" max="11538" width="9" style="2"/>
    <col min="11539" max="11539" width="9" style="2" customWidth="1"/>
    <col min="11540" max="11540" width="18.625" style="2" customWidth="1"/>
    <col min="11541" max="11541" width="0" style="2" hidden="1" customWidth="1"/>
    <col min="11542" max="11560" width="13.25" style="2" customWidth="1"/>
    <col min="11561" max="11794" width="9" style="2"/>
    <col min="11795" max="11795" width="9" style="2" customWidth="1"/>
    <col min="11796" max="11796" width="18.625" style="2" customWidth="1"/>
    <col min="11797" max="11797" width="0" style="2" hidden="1" customWidth="1"/>
    <col min="11798" max="11816" width="13.25" style="2" customWidth="1"/>
    <col min="11817" max="12050" width="9" style="2"/>
    <col min="12051" max="12051" width="9" style="2" customWidth="1"/>
    <col min="12052" max="12052" width="18.625" style="2" customWidth="1"/>
    <col min="12053" max="12053" width="0" style="2" hidden="1" customWidth="1"/>
    <col min="12054" max="12072" width="13.25" style="2" customWidth="1"/>
    <col min="12073" max="12306" width="9" style="2"/>
    <col min="12307" max="12307" width="9" style="2" customWidth="1"/>
    <col min="12308" max="12308" width="18.625" style="2" customWidth="1"/>
    <col min="12309" max="12309" width="0" style="2" hidden="1" customWidth="1"/>
    <col min="12310" max="12328" width="13.25" style="2" customWidth="1"/>
    <col min="12329" max="12562" width="9" style="2"/>
    <col min="12563" max="12563" width="9" style="2" customWidth="1"/>
    <col min="12564" max="12564" width="18.625" style="2" customWidth="1"/>
    <col min="12565" max="12565" width="0" style="2" hidden="1" customWidth="1"/>
    <col min="12566" max="12584" width="13.25" style="2" customWidth="1"/>
    <col min="12585" max="12818" width="9" style="2"/>
    <col min="12819" max="12819" width="9" style="2" customWidth="1"/>
    <col min="12820" max="12820" width="18.625" style="2" customWidth="1"/>
    <col min="12821" max="12821" width="0" style="2" hidden="1" customWidth="1"/>
    <col min="12822" max="12840" width="13.25" style="2" customWidth="1"/>
    <col min="12841" max="13074" width="9" style="2"/>
    <col min="13075" max="13075" width="9" style="2" customWidth="1"/>
    <col min="13076" max="13076" width="18.625" style="2" customWidth="1"/>
    <col min="13077" max="13077" width="0" style="2" hidden="1" customWidth="1"/>
    <col min="13078" max="13096" width="13.25" style="2" customWidth="1"/>
    <col min="13097" max="13330" width="9" style="2"/>
    <col min="13331" max="13331" width="9" style="2" customWidth="1"/>
    <col min="13332" max="13332" width="18.625" style="2" customWidth="1"/>
    <col min="13333" max="13333" width="0" style="2" hidden="1" customWidth="1"/>
    <col min="13334" max="13352" width="13.25" style="2" customWidth="1"/>
    <col min="13353" max="13586" width="9" style="2"/>
    <col min="13587" max="13587" width="9" style="2" customWidth="1"/>
    <col min="13588" max="13588" width="18.625" style="2" customWidth="1"/>
    <col min="13589" max="13589" width="0" style="2" hidden="1" customWidth="1"/>
    <col min="13590" max="13608" width="13.25" style="2" customWidth="1"/>
    <col min="13609" max="13842" width="9" style="2"/>
    <col min="13843" max="13843" width="9" style="2" customWidth="1"/>
    <col min="13844" max="13844" width="18.625" style="2" customWidth="1"/>
    <col min="13845" max="13845" width="0" style="2" hidden="1" customWidth="1"/>
    <col min="13846" max="13864" width="13.25" style="2" customWidth="1"/>
    <col min="13865" max="14098" width="9" style="2"/>
    <col min="14099" max="14099" width="9" style="2" customWidth="1"/>
    <col min="14100" max="14100" width="18.625" style="2" customWidth="1"/>
    <col min="14101" max="14101" width="0" style="2" hidden="1" customWidth="1"/>
    <col min="14102" max="14120" width="13.25" style="2" customWidth="1"/>
    <col min="14121" max="14354" width="9" style="2"/>
    <col min="14355" max="14355" width="9" style="2" customWidth="1"/>
    <col min="14356" max="14356" width="18.625" style="2" customWidth="1"/>
    <col min="14357" max="14357" width="0" style="2" hidden="1" customWidth="1"/>
    <col min="14358" max="14376" width="13.25" style="2" customWidth="1"/>
    <col min="14377" max="14610" width="9" style="2"/>
    <col min="14611" max="14611" width="9" style="2" customWidth="1"/>
    <col min="14612" max="14612" width="18.625" style="2" customWidth="1"/>
    <col min="14613" max="14613" width="0" style="2" hidden="1" customWidth="1"/>
    <col min="14614" max="14632" width="13.25" style="2" customWidth="1"/>
    <col min="14633" max="14866" width="9" style="2"/>
    <col min="14867" max="14867" width="9" style="2" customWidth="1"/>
    <col min="14868" max="14868" width="18.625" style="2" customWidth="1"/>
    <col min="14869" max="14869" width="0" style="2" hidden="1" customWidth="1"/>
    <col min="14870" max="14888" width="13.25" style="2" customWidth="1"/>
    <col min="14889" max="15122" width="9" style="2"/>
    <col min="15123" max="15123" width="9" style="2" customWidth="1"/>
    <col min="15124" max="15124" width="18.625" style="2" customWidth="1"/>
    <col min="15125" max="15125" width="0" style="2" hidden="1" customWidth="1"/>
    <col min="15126" max="15144" width="13.25" style="2" customWidth="1"/>
    <col min="15145" max="15378" width="9" style="2"/>
    <col min="15379" max="15379" width="9" style="2" customWidth="1"/>
    <col min="15380" max="15380" width="18.625" style="2" customWidth="1"/>
    <col min="15381" max="15381" width="0" style="2" hidden="1" customWidth="1"/>
    <col min="15382" max="15400" width="13.25" style="2" customWidth="1"/>
    <col min="15401" max="15634" width="9" style="2"/>
    <col min="15635" max="15635" width="9" style="2" customWidth="1"/>
    <col min="15636" max="15636" width="18.625" style="2" customWidth="1"/>
    <col min="15637" max="15637" width="0" style="2" hidden="1" customWidth="1"/>
    <col min="15638" max="15656" width="13.25" style="2" customWidth="1"/>
    <col min="15657" max="15890" width="9" style="2"/>
    <col min="15891" max="15891" width="9" style="2" customWidth="1"/>
    <col min="15892" max="15892" width="18.625" style="2" customWidth="1"/>
    <col min="15893" max="15893" width="0" style="2" hidden="1" customWidth="1"/>
    <col min="15894" max="15912" width="13.25" style="2" customWidth="1"/>
    <col min="15913" max="16146" width="9" style="2"/>
    <col min="16147" max="16147" width="9" style="2" customWidth="1"/>
    <col min="16148" max="16148" width="18.625" style="2" customWidth="1"/>
    <col min="16149" max="16149" width="0" style="2" hidden="1" customWidth="1"/>
    <col min="16150" max="16168" width="13.25" style="2" customWidth="1"/>
    <col min="16169" max="16384" width="9" style="2"/>
  </cols>
  <sheetData>
    <row r="1" spans="1:40" ht="21" x14ac:dyDescent="0.2">
      <c r="A1" s="1"/>
      <c r="B1" s="1"/>
      <c r="C1" s="235"/>
      <c r="D1" s="235"/>
      <c r="E1" s="235"/>
      <c r="F1" s="235"/>
      <c r="G1" s="235"/>
      <c r="H1" s="235"/>
      <c r="I1" s="235"/>
      <c r="J1" s="95"/>
      <c r="K1" s="235"/>
      <c r="L1" s="235"/>
      <c r="M1" s="235"/>
      <c r="N1" s="235"/>
      <c r="O1" s="235"/>
      <c r="P1" s="235"/>
      <c r="Q1" s="235"/>
      <c r="R1" s="235"/>
      <c r="S1" s="235"/>
      <c r="T1" s="95"/>
      <c r="U1" s="235"/>
      <c r="V1" s="235"/>
      <c r="W1" s="235"/>
      <c r="X1" s="235"/>
      <c r="Y1" s="235"/>
      <c r="Z1" s="235"/>
      <c r="AA1" s="235"/>
      <c r="AB1" s="9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</row>
    <row r="2" spans="1:40" ht="19.5" thickBot="1" x14ac:dyDescent="0.2">
      <c r="A2" s="236" t="s">
        <v>216</v>
      </c>
      <c r="B2" s="236"/>
    </row>
    <row r="3" spans="1:40" ht="21" customHeight="1" thickTop="1" thickBot="1" x14ac:dyDescent="0.2">
      <c r="A3" s="220" t="s">
        <v>0</v>
      </c>
      <c r="B3" s="221"/>
      <c r="C3" s="222" t="s">
        <v>1</v>
      </c>
      <c r="D3" s="223"/>
      <c r="E3" s="222" t="s">
        <v>2</v>
      </c>
      <c r="F3" s="223"/>
      <c r="G3" s="222" t="s">
        <v>3</v>
      </c>
      <c r="H3" s="234"/>
      <c r="I3" s="224" t="s">
        <v>4</v>
      </c>
      <c r="J3" s="225"/>
      <c r="K3" s="222" t="s">
        <v>5</v>
      </c>
      <c r="L3" s="223"/>
      <c r="M3" s="222" t="s">
        <v>6</v>
      </c>
      <c r="N3" s="223"/>
      <c r="O3" s="222" t="s">
        <v>7</v>
      </c>
      <c r="P3" s="234"/>
      <c r="Q3" s="216" t="s">
        <v>8</v>
      </c>
      <c r="R3" s="217"/>
      <c r="S3" s="226" t="s">
        <v>9</v>
      </c>
      <c r="T3" s="227"/>
      <c r="U3" s="222" t="s">
        <v>10</v>
      </c>
      <c r="V3" s="223"/>
      <c r="W3" s="222" t="s">
        <v>11</v>
      </c>
      <c r="X3" s="223"/>
      <c r="Y3" s="222" t="s">
        <v>12</v>
      </c>
      <c r="Z3" s="234"/>
      <c r="AA3" s="216" t="s">
        <v>13</v>
      </c>
      <c r="AB3" s="217"/>
      <c r="AC3" s="222" t="s">
        <v>14</v>
      </c>
      <c r="AD3" s="223"/>
      <c r="AE3" s="222" t="s">
        <v>15</v>
      </c>
      <c r="AF3" s="223"/>
      <c r="AG3" s="222" t="s">
        <v>16</v>
      </c>
      <c r="AH3" s="234"/>
      <c r="AI3" s="216" t="s">
        <v>17</v>
      </c>
      <c r="AJ3" s="217"/>
      <c r="AK3" s="226" t="s">
        <v>18</v>
      </c>
      <c r="AL3" s="227"/>
      <c r="AM3" s="241" t="s">
        <v>19</v>
      </c>
      <c r="AN3" s="229"/>
    </row>
    <row r="4" spans="1:40" ht="21" customHeight="1" thickTop="1" thickBot="1" x14ac:dyDescent="0.2">
      <c r="A4" s="230" t="s">
        <v>0</v>
      </c>
      <c r="B4" s="231"/>
      <c r="C4" s="30" t="s">
        <v>20</v>
      </c>
      <c r="D4" s="94" t="s">
        <v>83</v>
      </c>
      <c r="E4" s="30" t="s">
        <v>20</v>
      </c>
      <c r="F4" s="94" t="s">
        <v>83</v>
      </c>
      <c r="G4" s="30" t="s">
        <v>20</v>
      </c>
      <c r="H4" s="45" t="s">
        <v>83</v>
      </c>
      <c r="I4" s="30" t="s">
        <v>20</v>
      </c>
      <c r="J4" s="183" t="s">
        <v>83</v>
      </c>
      <c r="K4" s="30" t="s">
        <v>20</v>
      </c>
      <c r="L4" s="45" t="s">
        <v>83</v>
      </c>
      <c r="M4" s="30" t="s">
        <v>20</v>
      </c>
      <c r="N4" s="94" t="s">
        <v>83</v>
      </c>
      <c r="O4" s="30" t="s">
        <v>20</v>
      </c>
      <c r="P4" s="45" t="s">
        <v>83</v>
      </c>
      <c r="Q4" s="30" t="s">
        <v>20</v>
      </c>
      <c r="R4" s="94" t="s">
        <v>83</v>
      </c>
      <c r="S4" s="200" t="s">
        <v>20</v>
      </c>
      <c r="T4" s="183" t="s">
        <v>83</v>
      </c>
      <c r="U4" s="30" t="s">
        <v>20</v>
      </c>
      <c r="V4" s="94" t="s">
        <v>83</v>
      </c>
      <c r="W4" s="30" t="s">
        <v>20</v>
      </c>
      <c r="X4" s="94" t="s">
        <v>83</v>
      </c>
      <c r="Y4" s="30" t="s">
        <v>20</v>
      </c>
      <c r="Z4" s="45" t="s">
        <v>83</v>
      </c>
      <c r="AA4" s="200" t="s">
        <v>20</v>
      </c>
      <c r="AB4" s="183" t="s">
        <v>83</v>
      </c>
      <c r="AC4" s="30" t="s">
        <v>20</v>
      </c>
      <c r="AD4" s="94" t="s">
        <v>83</v>
      </c>
      <c r="AE4" s="30" t="s">
        <v>20</v>
      </c>
      <c r="AF4" s="94" t="s">
        <v>83</v>
      </c>
      <c r="AG4" s="30" t="s">
        <v>20</v>
      </c>
      <c r="AH4" s="45" t="s">
        <v>83</v>
      </c>
      <c r="AI4" s="200" t="s">
        <v>20</v>
      </c>
      <c r="AJ4" s="183" t="s">
        <v>83</v>
      </c>
      <c r="AK4" s="30" t="s">
        <v>20</v>
      </c>
      <c r="AL4" s="94" t="s">
        <v>83</v>
      </c>
      <c r="AM4" s="30" t="s">
        <v>20</v>
      </c>
      <c r="AN4" s="94" t="s">
        <v>83</v>
      </c>
    </row>
    <row r="5" spans="1:40" ht="20.25" customHeight="1" thickBot="1" x14ac:dyDescent="0.2">
      <c r="A5" s="232" t="s">
        <v>21</v>
      </c>
      <c r="B5" s="233"/>
      <c r="C5" s="31">
        <v>35898140</v>
      </c>
      <c r="D5" s="115">
        <f>k!C130</f>
        <v>35390769</v>
      </c>
      <c r="E5" s="31">
        <v>37180540</v>
      </c>
      <c r="F5" s="115">
        <f>k!D130</f>
        <v>36121335</v>
      </c>
      <c r="G5" s="31">
        <v>36529340</v>
      </c>
      <c r="H5" s="119">
        <f>k!E130</f>
        <v>36176787</v>
      </c>
      <c r="I5" s="41">
        <f>C5+E5+G5</f>
        <v>109608020</v>
      </c>
      <c r="J5" s="115">
        <f>D5+F5+H5</f>
        <v>107688891</v>
      </c>
      <c r="K5" s="31">
        <v>36253740</v>
      </c>
      <c r="L5" s="115">
        <f>k!F130</f>
        <v>35664220</v>
      </c>
      <c r="M5" s="31">
        <v>37180540</v>
      </c>
      <c r="N5" s="115">
        <f>k!G130</f>
        <v>35851957</v>
      </c>
      <c r="O5" s="31">
        <v>37428375</v>
      </c>
      <c r="P5" s="119">
        <f>k!H130</f>
        <v>33695663</v>
      </c>
      <c r="Q5" s="41">
        <f>K5+M5+O5</f>
        <v>110862655</v>
      </c>
      <c r="R5" s="115">
        <f>L5+N5+P5</f>
        <v>105211840</v>
      </c>
      <c r="S5" s="149">
        <f>I5+Q5</f>
        <v>220470675</v>
      </c>
      <c r="T5" s="115">
        <f>J5+R5</f>
        <v>212900731</v>
      </c>
      <c r="U5" s="31">
        <v>38079575</v>
      </c>
      <c r="V5" s="115">
        <f>k!I130</f>
        <v>33636366</v>
      </c>
      <c r="W5" s="31">
        <v>37753975</v>
      </c>
      <c r="X5" s="115">
        <f>k!J130</f>
        <v>33272970</v>
      </c>
      <c r="Y5" s="31">
        <v>37428375</v>
      </c>
      <c r="Z5" s="119">
        <f>k!K130</f>
        <v>33377719</v>
      </c>
      <c r="AA5" s="41">
        <f>U5+W5+Y5</f>
        <v>113261925</v>
      </c>
      <c r="AB5" s="115">
        <f>V5+X5+Z5</f>
        <v>100287055</v>
      </c>
      <c r="AC5" s="31">
        <v>37428375</v>
      </c>
      <c r="AD5" s="115">
        <f>k!L130</f>
        <v>33351564</v>
      </c>
      <c r="AE5" s="31">
        <v>37753975</v>
      </c>
      <c r="AF5" s="115">
        <f>k!M130</f>
        <v>33554639</v>
      </c>
      <c r="AG5" s="31">
        <v>36797175</v>
      </c>
      <c r="AH5" s="119">
        <f>k!N130</f>
        <v>33128845</v>
      </c>
      <c r="AI5" s="41">
        <f>AC5+AE5+AG5</f>
        <v>111979525</v>
      </c>
      <c r="AJ5" s="115">
        <f>AD5+AF5+AH5</f>
        <v>100035048</v>
      </c>
      <c r="AK5" s="149">
        <f>AA5+AI5</f>
        <v>225241450</v>
      </c>
      <c r="AL5" s="115">
        <f>AB5+AJ5</f>
        <v>200322103</v>
      </c>
      <c r="AM5" s="149">
        <f>S5+AK5</f>
        <v>445712125</v>
      </c>
      <c r="AN5" s="115">
        <f>SUM(D5,F5,H5,L5,N5,P5,V5,X5,Z5,AD5,AF5,AH5)</f>
        <v>413222834</v>
      </c>
    </row>
    <row r="6" spans="1:40" ht="20.25" customHeight="1" x14ac:dyDescent="0.15">
      <c r="A6" s="25" t="s">
        <v>76</v>
      </c>
      <c r="B6" s="29" t="s">
        <v>64</v>
      </c>
      <c r="C6" s="32">
        <v>20423000</v>
      </c>
      <c r="D6" s="9">
        <f>k!C131</f>
        <v>20129772</v>
      </c>
      <c r="E6" s="32">
        <v>20523000</v>
      </c>
      <c r="F6" s="9">
        <f>k!D131</f>
        <v>19789313</v>
      </c>
      <c r="G6" s="32">
        <v>20473000</v>
      </c>
      <c r="H6" s="49">
        <f>k!E131</f>
        <v>19943273</v>
      </c>
      <c r="I6" s="37">
        <f t="shared" ref="I6:J19" si="0">C6+E6+G6</f>
        <v>61419000</v>
      </c>
      <c r="J6" s="9">
        <f t="shared" si="0"/>
        <v>59862358</v>
      </c>
      <c r="K6" s="32">
        <v>20448000</v>
      </c>
      <c r="L6" s="9">
        <f>k!F131</f>
        <v>19614659</v>
      </c>
      <c r="M6" s="32">
        <v>20523000</v>
      </c>
      <c r="N6" s="9">
        <f>k!G131</f>
        <v>19095838</v>
      </c>
      <c r="O6" s="32">
        <v>20473000</v>
      </c>
      <c r="P6" s="49">
        <f>k!H131</f>
        <v>17829060</v>
      </c>
      <c r="Q6" s="37">
        <f t="shared" ref="Q6:R19" si="1">K6+M6+O6</f>
        <v>61444000</v>
      </c>
      <c r="R6" s="9">
        <f t="shared" si="1"/>
        <v>56539557</v>
      </c>
      <c r="S6" s="37">
        <f t="shared" ref="S6:T19" si="2">I6+Q6</f>
        <v>122863000</v>
      </c>
      <c r="T6" s="9">
        <f t="shared" si="2"/>
        <v>116401915</v>
      </c>
      <c r="U6" s="32">
        <v>20523000</v>
      </c>
      <c r="V6" s="9">
        <f>k!I131</f>
        <v>18002136</v>
      </c>
      <c r="W6" s="32">
        <v>20498000</v>
      </c>
      <c r="X6" s="9">
        <f>k!J131</f>
        <v>17704162</v>
      </c>
      <c r="Y6" s="32">
        <v>20473000</v>
      </c>
      <c r="Z6" s="49">
        <f>k!K131</f>
        <v>18157305</v>
      </c>
      <c r="AA6" s="37">
        <f t="shared" ref="AA6:AB19" si="3">U6+W6+Y6</f>
        <v>61494000</v>
      </c>
      <c r="AB6" s="9">
        <f t="shared" si="3"/>
        <v>53863603</v>
      </c>
      <c r="AC6" s="32">
        <v>20473000</v>
      </c>
      <c r="AD6" s="9">
        <f>k!L131</f>
        <v>18471884</v>
      </c>
      <c r="AE6" s="32">
        <v>20498000</v>
      </c>
      <c r="AF6" s="9">
        <f>k!M131</f>
        <v>18333965</v>
      </c>
      <c r="AG6" s="32">
        <v>20423000</v>
      </c>
      <c r="AH6" s="49">
        <f>k!N131</f>
        <v>18748970</v>
      </c>
      <c r="AI6" s="37">
        <f t="shared" ref="AI6:AJ19" si="4">AC6+AE6+AG6</f>
        <v>61394000</v>
      </c>
      <c r="AJ6" s="9">
        <f t="shared" si="4"/>
        <v>55554819</v>
      </c>
      <c r="AK6" s="37">
        <f t="shared" ref="AK6:AL19" si="5">AA6+AI6</f>
        <v>122888000</v>
      </c>
      <c r="AL6" s="9">
        <f t="shared" si="5"/>
        <v>109418422</v>
      </c>
      <c r="AM6" s="37">
        <f t="shared" ref="AM6:AM19" si="6">S6+AK6</f>
        <v>245751000</v>
      </c>
      <c r="AN6" s="9">
        <f t="shared" ref="AN6:AN21" si="7">SUM(D6,F6,H6,L6,N6,P6,V6,X6,Z6,AD6,AF6,AH6)</f>
        <v>225820337</v>
      </c>
    </row>
    <row r="7" spans="1:40" ht="20.25" customHeight="1" x14ac:dyDescent="0.15">
      <c r="A7" s="21" t="s">
        <v>77</v>
      </c>
      <c r="B7" s="5" t="s">
        <v>65</v>
      </c>
      <c r="C7" s="33">
        <v>1527000</v>
      </c>
      <c r="D7" s="116">
        <f>k!C132</f>
        <v>1510581</v>
      </c>
      <c r="E7" s="33">
        <v>1527200</v>
      </c>
      <c r="F7" s="116">
        <f>k!D132</f>
        <v>1743621</v>
      </c>
      <c r="G7" s="33">
        <v>1427200</v>
      </c>
      <c r="H7" s="120">
        <f>k!E132</f>
        <v>1411391</v>
      </c>
      <c r="I7" s="150">
        <f t="shared" si="0"/>
        <v>4481400</v>
      </c>
      <c r="J7" s="116">
        <f t="shared" si="0"/>
        <v>4665593</v>
      </c>
      <c r="K7" s="33">
        <v>1476000</v>
      </c>
      <c r="L7" s="116">
        <f>k!F132</f>
        <v>1467912</v>
      </c>
      <c r="M7" s="33">
        <v>1427200</v>
      </c>
      <c r="N7" s="116">
        <f>k!G132</f>
        <v>1924452</v>
      </c>
      <c r="O7" s="33">
        <v>1427200</v>
      </c>
      <c r="P7" s="120">
        <f>k!H132</f>
        <v>1258675</v>
      </c>
      <c r="Q7" s="150">
        <f t="shared" si="1"/>
        <v>4330400</v>
      </c>
      <c r="R7" s="116">
        <f t="shared" si="1"/>
        <v>4651039</v>
      </c>
      <c r="S7" s="150">
        <f t="shared" si="2"/>
        <v>8811800</v>
      </c>
      <c r="T7" s="116">
        <f t="shared" si="2"/>
        <v>9316632</v>
      </c>
      <c r="U7" s="33">
        <v>1427200</v>
      </c>
      <c r="V7" s="116">
        <f>k!I132</f>
        <v>1257645</v>
      </c>
      <c r="W7" s="33">
        <v>1427200</v>
      </c>
      <c r="X7" s="116">
        <f>k!J132</f>
        <v>1256795</v>
      </c>
      <c r="Y7" s="33">
        <v>1427200</v>
      </c>
      <c r="Z7" s="120">
        <f>k!K132</f>
        <v>1237795</v>
      </c>
      <c r="AA7" s="150">
        <f t="shared" si="3"/>
        <v>4281600</v>
      </c>
      <c r="AB7" s="116">
        <f t="shared" si="3"/>
        <v>3752235</v>
      </c>
      <c r="AC7" s="33">
        <v>1427200</v>
      </c>
      <c r="AD7" s="116">
        <f>k!L132</f>
        <v>1240795</v>
      </c>
      <c r="AE7" s="33">
        <v>1476000</v>
      </c>
      <c r="AF7" s="116">
        <f>k!M132</f>
        <v>1711765</v>
      </c>
      <c r="AG7" s="33">
        <v>1476000</v>
      </c>
      <c r="AH7" s="120">
        <f>k!N132</f>
        <v>1480225</v>
      </c>
      <c r="AI7" s="150">
        <f t="shared" si="4"/>
        <v>4379200</v>
      </c>
      <c r="AJ7" s="116">
        <f t="shared" si="4"/>
        <v>4432785</v>
      </c>
      <c r="AK7" s="150">
        <f t="shared" si="5"/>
        <v>8660800</v>
      </c>
      <c r="AL7" s="116">
        <f t="shared" si="5"/>
        <v>8185020</v>
      </c>
      <c r="AM7" s="150">
        <f t="shared" si="6"/>
        <v>17472600</v>
      </c>
      <c r="AN7" s="116">
        <f t="shared" si="7"/>
        <v>17501652</v>
      </c>
    </row>
    <row r="8" spans="1:40" ht="20.25" customHeight="1" x14ac:dyDescent="0.15">
      <c r="A8" s="23"/>
      <c r="B8" s="5" t="s">
        <v>66</v>
      </c>
      <c r="C8" s="33">
        <v>2349000</v>
      </c>
      <c r="D8" s="116">
        <f>k!C134</f>
        <v>2710197</v>
      </c>
      <c r="E8" s="33">
        <v>2349000</v>
      </c>
      <c r="F8" s="116">
        <f>k!D134</f>
        <v>3099885</v>
      </c>
      <c r="G8" s="33">
        <v>2349000</v>
      </c>
      <c r="H8" s="120">
        <f>k!E134</f>
        <v>2765367</v>
      </c>
      <c r="I8" s="150">
        <f t="shared" si="0"/>
        <v>7047000</v>
      </c>
      <c r="J8" s="116">
        <f t="shared" si="0"/>
        <v>8575449</v>
      </c>
      <c r="K8" s="33">
        <v>2349000</v>
      </c>
      <c r="L8" s="116">
        <f>k!F134</f>
        <v>2807209</v>
      </c>
      <c r="M8" s="33">
        <v>2349000</v>
      </c>
      <c r="N8" s="116">
        <f>k!G134</f>
        <v>3012604</v>
      </c>
      <c r="O8" s="33">
        <v>2349000</v>
      </c>
      <c r="P8" s="120">
        <f>k!H134</f>
        <v>2986461</v>
      </c>
      <c r="Q8" s="150">
        <f t="shared" si="1"/>
        <v>7047000</v>
      </c>
      <c r="R8" s="116">
        <f t="shared" si="1"/>
        <v>8806274</v>
      </c>
      <c r="S8" s="150">
        <f t="shared" si="2"/>
        <v>14094000</v>
      </c>
      <c r="T8" s="116">
        <f t="shared" si="2"/>
        <v>17381723</v>
      </c>
      <c r="U8" s="33">
        <v>2349000</v>
      </c>
      <c r="V8" s="116">
        <f>k!I134</f>
        <v>2753870</v>
      </c>
      <c r="W8" s="33">
        <v>2349000</v>
      </c>
      <c r="X8" s="116">
        <f>k!J134</f>
        <v>2861154</v>
      </c>
      <c r="Y8" s="33">
        <v>2349000</v>
      </c>
      <c r="Z8" s="120">
        <f>k!K134</f>
        <v>2739734</v>
      </c>
      <c r="AA8" s="150">
        <f t="shared" si="3"/>
        <v>7047000</v>
      </c>
      <c r="AB8" s="116">
        <f t="shared" si="3"/>
        <v>8354758</v>
      </c>
      <c r="AC8" s="33">
        <v>2349000</v>
      </c>
      <c r="AD8" s="116">
        <f>k!L134</f>
        <v>2513399</v>
      </c>
      <c r="AE8" s="33">
        <v>2349000</v>
      </c>
      <c r="AF8" s="116">
        <f>k!M134</f>
        <v>2642435</v>
      </c>
      <c r="AG8" s="33">
        <v>2349000</v>
      </c>
      <c r="AH8" s="120">
        <f>k!N134</f>
        <v>2354959</v>
      </c>
      <c r="AI8" s="150">
        <f t="shared" si="4"/>
        <v>7047000</v>
      </c>
      <c r="AJ8" s="116">
        <f t="shared" si="4"/>
        <v>7510793</v>
      </c>
      <c r="AK8" s="150">
        <f t="shared" si="5"/>
        <v>14094000</v>
      </c>
      <c r="AL8" s="116">
        <f t="shared" si="5"/>
        <v>15865551</v>
      </c>
      <c r="AM8" s="150">
        <f t="shared" si="6"/>
        <v>28188000</v>
      </c>
      <c r="AN8" s="116">
        <f t="shared" si="7"/>
        <v>33247274</v>
      </c>
    </row>
    <row r="9" spans="1:40" ht="20.25" customHeight="1" x14ac:dyDescent="0.15">
      <c r="A9" s="23"/>
      <c r="B9" s="5" t="s">
        <v>22</v>
      </c>
      <c r="C9" s="34">
        <v>1263548</v>
      </c>
      <c r="D9" s="117">
        <f>k!C135</f>
        <v>1187126</v>
      </c>
      <c r="E9" s="34">
        <v>1268758.3999999999</v>
      </c>
      <c r="F9" s="117">
        <f>k!D135</f>
        <v>1148991</v>
      </c>
      <c r="G9" s="34">
        <v>1260958.3999999999</v>
      </c>
      <c r="H9" s="121">
        <f>k!E135</f>
        <v>1119373</v>
      </c>
      <c r="I9" s="151">
        <f t="shared" si="0"/>
        <v>3793264.8</v>
      </c>
      <c r="J9" s="117">
        <f t="shared" si="0"/>
        <v>3455490</v>
      </c>
      <c r="K9" s="34">
        <v>1262196</v>
      </c>
      <c r="L9" s="117">
        <f>k!F135</f>
        <v>1149011</v>
      </c>
      <c r="M9" s="34">
        <v>1263558.3999999999</v>
      </c>
      <c r="N9" s="117">
        <f>k!G135</f>
        <v>1131758</v>
      </c>
      <c r="O9" s="34">
        <v>1260958.3999999999</v>
      </c>
      <c r="P9" s="121">
        <f>k!H135</f>
        <v>1039471</v>
      </c>
      <c r="Q9" s="151">
        <f t="shared" si="1"/>
        <v>3786712.8</v>
      </c>
      <c r="R9" s="117">
        <f t="shared" si="1"/>
        <v>3320240</v>
      </c>
      <c r="S9" s="151">
        <f t="shared" si="2"/>
        <v>7579977.5999999996</v>
      </c>
      <c r="T9" s="117">
        <f t="shared" si="2"/>
        <v>6775730</v>
      </c>
      <c r="U9" s="34">
        <v>1263558.3999999999</v>
      </c>
      <c r="V9" s="117">
        <f>k!I135</f>
        <v>1041515</v>
      </c>
      <c r="W9" s="34">
        <v>1262258.3999999999</v>
      </c>
      <c r="X9" s="117">
        <f>k!J135</f>
        <v>1035239</v>
      </c>
      <c r="Y9" s="34">
        <v>1260958.3999999999</v>
      </c>
      <c r="Z9" s="121">
        <f>k!K135</f>
        <v>1108312</v>
      </c>
      <c r="AA9" s="151">
        <f t="shared" si="3"/>
        <v>3786775.1999999997</v>
      </c>
      <c r="AB9" s="117">
        <f t="shared" si="3"/>
        <v>3185066</v>
      </c>
      <c r="AC9" s="34">
        <v>1260958.3999999999</v>
      </c>
      <c r="AD9" s="117">
        <f>k!L135</f>
        <v>1104224</v>
      </c>
      <c r="AE9" s="34">
        <v>1264796</v>
      </c>
      <c r="AF9" s="117">
        <f>k!M135</f>
        <v>1096048</v>
      </c>
      <c r="AG9" s="34">
        <v>1260896</v>
      </c>
      <c r="AH9" s="121">
        <f>k!N135</f>
        <v>1121598</v>
      </c>
      <c r="AI9" s="151">
        <f t="shared" si="4"/>
        <v>3786650.4</v>
      </c>
      <c r="AJ9" s="117">
        <f t="shared" si="4"/>
        <v>3321870</v>
      </c>
      <c r="AK9" s="151">
        <f t="shared" si="5"/>
        <v>7573425.5999999996</v>
      </c>
      <c r="AL9" s="117">
        <f t="shared" si="5"/>
        <v>6506936</v>
      </c>
      <c r="AM9" s="151">
        <f t="shared" si="6"/>
        <v>15153403.199999999</v>
      </c>
      <c r="AN9" s="117">
        <f t="shared" si="7"/>
        <v>13282666</v>
      </c>
    </row>
    <row r="10" spans="1:40" ht="20.25" customHeight="1" x14ac:dyDescent="0.15">
      <c r="A10" s="23"/>
      <c r="B10" s="5" t="s">
        <v>67</v>
      </c>
      <c r="C10" s="34">
        <v>121495</v>
      </c>
      <c r="D10" s="117">
        <f>k!C136</f>
        <v>115649</v>
      </c>
      <c r="E10" s="34">
        <v>121996</v>
      </c>
      <c r="F10" s="117">
        <f>k!D136</f>
        <v>105969</v>
      </c>
      <c r="G10" s="34">
        <v>121246</v>
      </c>
      <c r="H10" s="121">
        <f>k!E136</f>
        <v>102089</v>
      </c>
      <c r="I10" s="151">
        <f t="shared" si="0"/>
        <v>364737</v>
      </c>
      <c r="J10" s="117">
        <f t="shared" si="0"/>
        <v>323707</v>
      </c>
      <c r="K10" s="34">
        <v>121365</v>
      </c>
      <c r="L10" s="117">
        <f>k!F136</f>
        <v>102089</v>
      </c>
      <c r="M10" s="34">
        <v>121496</v>
      </c>
      <c r="N10" s="117">
        <f>k!G136</f>
        <v>105123</v>
      </c>
      <c r="O10" s="34">
        <v>121246</v>
      </c>
      <c r="P10" s="121">
        <f>k!H136</f>
        <v>95316</v>
      </c>
      <c r="Q10" s="151">
        <f t="shared" si="1"/>
        <v>364107</v>
      </c>
      <c r="R10" s="117">
        <f t="shared" si="1"/>
        <v>302528</v>
      </c>
      <c r="S10" s="151">
        <f t="shared" si="2"/>
        <v>728844</v>
      </c>
      <c r="T10" s="117">
        <f t="shared" si="2"/>
        <v>626235</v>
      </c>
      <c r="U10" s="34">
        <v>121496</v>
      </c>
      <c r="V10" s="117">
        <f>k!I136</f>
        <v>97366</v>
      </c>
      <c r="W10" s="34">
        <v>121371</v>
      </c>
      <c r="X10" s="117">
        <f>k!J136</f>
        <v>98786</v>
      </c>
      <c r="Y10" s="44">
        <v>121246</v>
      </c>
      <c r="Z10" s="121">
        <f>k!K136</f>
        <v>110594</v>
      </c>
      <c r="AA10" s="151">
        <f t="shared" si="3"/>
        <v>364113</v>
      </c>
      <c r="AB10" s="117">
        <f t="shared" si="3"/>
        <v>306746</v>
      </c>
      <c r="AC10" s="34">
        <v>121246</v>
      </c>
      <c r="AD10" s="117">
        <f>k!L136</f>
        <v>111414</v>
      </c>
      <c r="AE10" s="34">
        <v>121615</v>
      </c>
      <c r="AF10" s="117">
        <f>k!M136</f>
        <v>107724</v>
      </c>
      <c r="AG10" s="34">
        <v>121240</v>
      </c>
      <c r="AH10" s="121">
        <f>k!N136</f>
        <v>113054</v>
      </c>
      <c r="AI10" s="151">
        <f t="shared" si="4"/>
        <v>364101</v>
      </c>
      <c r="AJ10" s="117">
        <f t="shared" si="4"/>
        <v>332192</v>
      </c>
      <c r="AK10" s="151">
        <f t="shared" si="5"/>
        <v>728214</v>
      </c>
      <c r="AL10" s="117">
        <f t="shared" si="5"/>
        <v>638938</v>
      </c>
      <c r="AM10" s="151">
        <f t="shared" si="6"/>
        <v>1457058</v>
      </c>
      <c r="AN10" s="117">
        <f t="shared" si="7"/>
        <v>1265173</v>
      </c>
    </row>
    <row r="11" spans="1:40" ht="20.25" customHeight="1" x14ac:dyDescent="0.15">
      <c r="A11" s="23"/>
      <c r="B11" s="5" t="s">
        <v>23</v>
      </c>
      <c r="C11" s="34">
        <v>2308405</v>
      </c>
      <c r="D11" s="117">
        <f>k!C137</f>
        <v>2111227</v>
      </c>
      <c r="E11" s="34">
        <v>2317924</v>
      </c>
      <c r="F11" s="117">
        <f>k!D137</f>
        <v>2057506</v>
      </c>
      <c r="G11" s="34">
        <v>2303674</v>
      </c>
      <c r="H11" s="121">
        <f>k!E137</f>
        <v>2004355</v>
      </c>
      <c r="I11" s="151">
        <f t="shared" si="0"/>
        <v>6930003</v>
      </c>
      <c r="J11" s="117">
        <f>D11+F11+H11</f>
        <v>6173088</v>
      </c>
      <c r="K11" s="34">
        <v>2305935</v>
      </c>
      <c r="L11" s="117">
        <f>k!F137</f>
        <v>2057425</v>
      </c>
      <c r="M11" s="34">
        <v>2308424</v>
      </c>
      <c r="N11" s="117">
        <f>k!G137</f>
        <v>2026532</v>
      </c>
      <c r="O11" s="34">
        <v>2303674</v>
      </c>
      <c r="P11" s="121">
        <f>k!H137</f>
        <v>1861283</v>
      </c>
      <c r="Q11" s="151">
        <f t="shared" si="1"/>
        <v>6918033</v>
      </c>
      <c r="R11" s="117">
        <f t="shared" si="1"/>
        <v>5945240</v>
      </c>
      <c r="S11" s="151">
        <f t="shared" si="2"/>
        <v>13848036</v>
      </c>
      <c r="T11" s="117">
        <f t="shared" si="2"/>
        <v>12118328</v>
      </c>
      <c r="U11" s="34">
        <v>2308424</v>
      </c>
      <c r="V11" s="117">
        <f>k!I137</f>
        <v>1864943</v>
      </c>
      <c r="W11" s="34">
        <v>2306049</v>
      </c>
      <c r="X11" s="117">
        <f>k!J137</f>
        <v>1853707</v>
      </c>
      <c r="Y11" s="44">
        <v>2303674</v>
      </c>
      <c r="Z11" s="121">
        <f>k!K137</f>
        <v>1984552</v>
      </c>
      <c r="AA11" s="151">
        <f t="shared" si="3"/>
        <v>6918147</v>
      </c>
      <c r="AB11" s="117">
        <f t="shared" si="3"/>
        <v>5703202</v>
      </c>
      <c r="AC11" s="34">
        <v>2303674</v>
      </c>
      <c r="AD11" s="117">
        <f>k!L137</f>
        <v>1977232</v>
      </c>
      <c r="AE11" s="34">
        <v>2310685</v>
      </c>
      <c r="AF11" s="117">
        <f>k!M137</f>
        <v>1962592</v>
      </c>
      <c r="AG11" s="34">
        <v>2303560</v>
      </c>
      <c r="AH11" s="121">
        <f>k!N137</f>
        <v>2008342</v>
      </c>
      <c r="AI11" s="151">
        <f t="shared" si="4"/>
        <v>6917919</v>
      </c>
      <c r="AJ11" s="117">
        <f t="shared" si="4"/>
        <v>5948166</v>
      </c>
      <c r="AK11" s="151">
        <f t="shared" si="5"/>
        <v>13836066</v>
      </c>
      <c r="AL11" s="117">
        <f t="shared" si="5"/>
        <v>11651368</v>
      </c>
      <c r="AM11" s="151">
        <f t="shared" si="6"/>
        <v>27684102</v>
      </c>
      <c r="AN11" s="117">
        <f t="shared" si="7"/>
        <v>23769696</v>
      </c>
    </row>
    <row r="12" spans="1:40" ht="20.25" customHeight="1" x14ac:dyDescent="0.15">
      <c r="A12" s="23"/>
      <c r="B12" s="5" t="s">
        <v>24</v>
      </c>
      <c r="C12" s="34">
        <v>145794</v>
      </c>
      <c r="D12" s="117">
        <f>k!C138</f>
        <v>188014</v>
      </c>
      <c r="E12" s="34">
        <v>146395.20000000001</v>
      </c>
      <c r="F12" s="117">
        <f>k!D138</f>
        <v>143890</v>
      </c>
      <c r="G12" s="34">
        <v>145495.20000000001</v>
      </c>
      <c r="H12" s="121">
        <f>k!E138</f>
        <v>140742</v>
      </c>
      <c r="I12" s="151">
        <f t="shared" si="0"/>
        <v>437684.4</v>
      </c>
      <c r="J12" s="117">
        <f t="shared" si="0"/>
        <v>472646</v>
      </c>
      <c r="K12" s="34">
        <v>145638</v>
      </c>
      <c r="L12" s="117">
        <f>k!F138</f>
        <v>140414</v>
      </c>
      <c r="M12" s="34">
        <v>145795.20000000001</v>
      </c>
      <c r="N12" s="117">
        <f>k!G138</f>
        <v>137974</v>
      </c>
      <c r="O12" s="34">
        <v>145495.20000000001</v>
      </c>
      <c r="P12" s="121">
        <f>k!H138</f>
        <v>127738</v>
      </c>
      <c r="Q12" s="151">
        <f t="shared" si="1"/>
        <v>436928.4</v>
      </c>
      <c r="R12" s="117">
        <f t="shared" si="1"/>
        <v>406126</v>
      </c>
      <c r="S12" s="151">
        <f t="shared" si="2"/>
        <v>874612.8</v>
      </c>
      <c r="T12" s="117">
        <f t="shared" si="2"/>
        <v>878772</v>
      </c>
      <c r="U12" s="34">
        <v>145795.20000000001</v>
      </c>
      <c r="V12" s="117">
        <f>k!I138</f>
        <v>126106</v>
      </c>
      <c r="W12" s="34">
        <v>145645.20000000001</v>
      </c>
      <c r="X12" s="117">
        <f>k!J138</f>
        <v>177742</v>
      </c>
      <c r="Y12" s="44">
        <v>145495.20000000001</v>
      </c>
      <c r="Z12" s="121">
        <f>k!K138</f>
        <v>179477</v>
      </c>
      <c r="AA12" s="151">
        <f t="shared" si="3"/>
        <v>436935.60000000003</v>
      </c>
      <c r="AB12" s="117">
        <f t="shared" si="3"/>
        <v>483325</v>
      </c>
      <c r="AC12" s="34">
        <v>145495.20000000001</v>
      </c>
      <c r="AD12" s="117">
        <f>k!L138</f>
        <v>180556</v>
      </c>
      <c r="AE12" s="34">
        <v>145938</v>
      </c>
      <c r="AF12" s="117">
        <f>k!M138</f>
        <v>182875</v>
      </c>
      <c r="AG12" s="34">
        <v>145488</v>
      </c>
      <c r="AH12" s="121">
        <f>k!N138</f>
        <v>182180</v>
      </c>
      <c r="AI12" s="151">
        <f t="shared" si="4"/>
        <v>436921.2</v>
      </c>
      <c r="AJ12" s="117">
        <f t="shared" si="4"/>
        <v>545611</v>
      </c>
      <c r="AK12" s="151">
        <f t="shared" si="5"/>
        <v>873856.8</v>
      </c>
      <c r="AL12" s="117">
        <f t="shared" si="5"/>
        <v>1028936</v>
      </c>
      <c r="AM12" s="151">
        <f t="shared" si="6"/>
        <v>1748469.6</v>
      </c>
      <c r="AN12" s="117">
        <f t="shared" si="7"/>
        <v>1907708</v>
      </c>
    </row>
    <row r="13" spans="1:40" ht="20.25" customHeight="1" x14ac:dyDescent="0.15">
      <c r="A13" s="23"/>
      <c r="B13" s="5" t="s">
        <v>25</v>
      </c>
      <c r="C13" s="34">
        <v>72897</v>
      </c>
      <c r="D13" s="117">
        <f>ROUND(k!C139*3/1000,0)</f>
        <v>77511</v>
      </c>
      <c r="E13" s="34">
        <v>73197.600000000006</v>
      </c>
      <c r="F13" s="117">
        <f>ROUND(k!D139*3/1000,0)</f>
        <v>78412</v>
      </c>
      <c r="G13" s="34">
        <v>72747.600000000006</v>
      </c>
      <c r="H13" s="121">
        <f>ROUND(k!E139*3/1000,0)</f>
        <v>76936</v>
      </c>
      <c r="I13" s="151">
        <f t="shared" si="0"/>
        <v>218842.2</v>
      </c>
      <c r="J13" s="117">
        <f t="shared" si="0"/>
        <v>232859</v>
      </c>
      <c r="K13" s="34">
        <v>72819</v>
      </c>
      <c r="L13" s="117">
        <f>ROUND(k!F139*3/1000,0)</f>
        <v>76103</v>
      </c>
      <c r="M13" s="34">
        <v>72897.600000000006</v>
      </c>
      <c r="N13" s="117">
        <f>ROUND(k!G139*3/1000,0)</f>
        <v>76310</v>
      </c>
      <c r="O13" s="34">
        <v>72747.600000000006</v>
      </c>
      <c r="P13" s="121">
        <f>ROUND(k!H139*3/1000,0)</f>
        <v>70139</v>
      </c>
      <c r="Q13" s="151">
        <f t="shared" si="1"/>
        <v>218464.2</v>
      </c>
      <c r="R13" s="117">
        <f t="shared" si="1"/>
        <v>222552</v>
      </c>
      <c r="S13" s="151">
        <f t="shared" si="2"/>
        <v>437306.4</v>
      </c>
      <c r="T13" s="117">
        <f t="shared" si="2"/>
        <v>455411</v>
      </c>
      <c r="U13" s="34">
        <v>72897.600000000006</v>
      </c>
      <c r="V13" s="117">
        <f>ROUND(k!I139*3/1000,0)</f>
        <v>69821</v>
      </c>
      <c r="W13" s="34">
        <v>72822.600000000006</v>
      </c>
      <c r="X13" s="117">
        <f>ROUND(k!J139*3/1000,0)</f>
        <v>69232</v>
      </c>
      <c r="Y13" s="44">
        <v>72747.600000000006</v>
      </c>
      <c r="Z13" s="121">
        <f>ROUND(k!K139*3/1000,0)</f>
        <v>70307</v>
      </c>
      <c r="AA13" s="151">
        <f t="shared" si="3"/>
        <v>218467.80000000002</v>
      </c>
      <c r="AB13" s="117">
        <f t="shared" si="3"/>
        <v>209360</v>
      </c>
      <c r="AC13" s="34">
        <v>72747.600000000006</v>
      </c>
      <c r="AD13" s="117">
        <f>ROUND(k!L139*3/1000,0)</f>
        <v>70615</v>
      </c>
      <c r="AE13" s="34">
        <v>72969</v>
      </c>
      <c r="AF13" s="117">
        <f>ROUND(k!M139*3/1000,0)</f>
        <v>71862</v>
      </c>
      <c r="AG13" s="34">
        <v>72744</v>
      </c>
      <c r="AH13" s="121">
        <f>ROUND(k!N139*3/1000,0)</f>
        <v>71678</v>
      </c>
      <c r="AI13" s="151">
        <f t="shared" si="4"/>
        <v>218460.6</v>
      </c>
      <c r="AJ13" s="117">
        <f t="shared" si="4"/>
        <v>214155</v>
      </c>
      <c r="AK13" s="151">
        <f t="shared" si="5"/>
        <v>436928.4</v>
      </c>
      <c r="AL13" s="117">
        <f t="shared" si="5"/>
        <v>423515</v>
      </c>
      <c r="AM13" s="151">
        <f t="shared" si="6"/>
        <v>874234.8</v>
      </c>
      <c r="AN13" s="117">
        <f t="shared" si="7"/>
        <v>878926</v>
      </c>
    </row>
    <row r="14" spans="1:40" ht="20.25" customHeight="1" x14ac:dyDescent="0.15">
      <c r="A14" s="26"/>
      <c r="B14" s="27" t="s">
        <v>26</v>
      </c>
      <c r="C14" s="35">
        <v>1567000</v>
      </c>
      <c r="D14" s="118">
        <f>k!C133</f>
        <v>1486570</v>
      </c>
      <c r="E14" s="35">
        <v>1567000</v>
      </c>
      <c r="F14" s="118">
        <f>k!D133</f>
        <v>1504620</v>
      </c>
      <c r="G14" s="35">
        <v>1567000</v>
      </c>
      <c r="H14" s="122">
        <f>k!E133</f>
        <v>1525349</v>
      </c>
      <c r="I14" s="152">
        <f t="shared" si="0"/>
        <v>4701000</v>
      </c>
      <c r="J14" s="118">
        <f t="shared" si="0"/>
        <v>4516539</v>
      </c>
      <c r="K14" s="35">
        <v>1567000</v>
      </c>
      <c r="L14" s="118">
        <f>k!F133</f>
        <v>1477819</v>
      </c>
      <c r="M14" s="35">
        <v>1567000</v>
      </c>
      <c r="N14" s="118">
        <f>k!G133</f>
        <v>1403611</v>
      </c>
      <c r="O14" s="35">
        <v>1567000</v>
      </c>
      <c r="P14" s="122">
        <f>k!H133</f>
        <v>1305568</v>
      </c>
      <c r="Q14" s="152">
        <f t="shared" si="1"/>
        <v>4701000</v>
      </c>
      <c r="R14" s="118">
        <f t="shared" si="1"/>
        <v>4186998</v>
      </c>
      <c r="S14" s="152">
        <f t="shared" si="2"/>
        <v>9402000</v>
      </c>
      <c r="T14" s="118">
        <f t="shared" si="2"/>
        <v>8703537</v>
      </c>
      <c r="U14" s="35">
        <v>1567000</v>
      </c>
      <c r="V14" s="118">
        <f>k!I133</f>
        <v>1260028</v>
      </c>
      <c r="W14" s="35">
        <v>1567000</v>
      </c>
      <c r="X14" s="118">
        <f>k!J133</f>
        <v>1255247</v>
      </c>
      <c r="Y14" s="90">
        <v>1567000</v>
      </c>
      <c r="Z14" s="122">
        <f>k!K133</f>
        <v>1300803</v>
      </c>
      <c r="AA14" s="152">
        <f t="shared" si="3"/>
        <v>4701000</v>
      </c>
      <c r="AB14" s="118">
        <f t="shared" si="3"/>
        <v>3816078</v>
      </c>
      <c r="AC14" s="35">
        <v>1567000</v>
      </c>
      <c r="AD14" s="118">
        <f>k!L133</f>
        <v>1312369</v>
      </c>
      <c r="AE14" s="35">
        <v>1567000</v>
      </c>
      <c r="AF14" s="118">
        <f>k!M133</f>
        <v>1265786</v>
      </c>
      <c r="AG14" s="35">
        <v>1567000</v>
      </c>
      <c r="AH14" s="122">
        <f>k!N133</f>
        <v>1308459</v>
      </c>
      <c r="AI14" s="152">
        <f t="shared" si="4"/>
        <v>4701000</v>
      </c>
      <c r="AJ14" s="118">
        <f t="shared" si="4"/>
        <v>3886614</v>
      </c>
      <c r="AK14" s="152">
        <f t="shared" si="5"/>
        <v>9402000</v>
      </c>
      <c r="AL14" s="118">
        <f t="shared" si="5"/>
        <v>7702692</v>
      </c>
      <c r="AM14" s="152">
        <f t="shared" si="6"/>
        <v>18804000</v>
      </c>
      <c r="AN14" s="118">
        <f t="shared" si="7"/>
        <v>16406229</v>
      </c>
    </row>
    <row r="15" spans="1:40" ht="20.25" customHeight="1" x14ac:dyDescent="0.15">
      <c r="A15" s="21" t="s">
        <v>77</v>
      </c>
      <c r="B15" s="22" t="s">
        <v>68</v>
      </c>
      <c r="C15" s="34">
        <v>0</v>
      </c>
      <c r="D15" s="4"/>
      <c r="E15" s="34">
        <v>0</v>
      </c>
      <c r="F15" s="4"/>
      <c r="G15" s="34">
        <v>0</v>
      </c>
      <c r="H15" s="46"/>
      <c r="I15" s="151">
        <f t="shared" si="0"/>
        <v>0</v>
      </c>
      <c r="J15" s="117">
        <f t="shared" si="0"/>
        <v>0</v>
      </c>
      <c r="K15" s="34">
        <v>0</v>
      </c>
      <c r="L15" s="4"/>
      <c r="M15" s="34">
        <v>0</v>
      </c>
      <c r="N15" s="4"/>
      <c r="O15" s="34">
        <v>0</v>
      </c>
      <c r="P15" s="46"/>
      <c r="Q15" s="151">
        <f t="shared" si="1"/>
        <v>0</v>
      </c>
      <c r="R15" s="117">
        <f t="shared" si="1"/>
        <v>0</v>
      </c>
      <c r="S15" s="151">
        <f t="shared" si="2"/>
        <v>0</v>
      </c>
      <c r="T15" s="117">
        <f t="shared" si="2"/>
        <v>0</v>
      </c>
      <c r="U15" s="34">
        <v>0</v>
      </c>
      <c r="V15" s="4"/>
      <c r="W15" s="34">
        <v>0</v>
      </c>
      <c r="X15" s="4"/>
      <c r="Y15" s="44">
        <v>0</v>
      </c>
      <c r="Z15" s="46"/>
      <c r="AA15" s="151">
        <f t="shared" si="3"/>
        <v>0</v>
      </c>
      <c r="AB15" s="117">
        <f t="shared" si="3"/>
        <v>0</v>
      </c>
      <c r="AC15" s="34">
        <v>0</v>
      </c>
      <c r="AD15" s="4"/>
      <c r="AE15" s="34">
        <v>0</v>
      </c>
      <c r="AF15" s="4"/>
      <c r="AG15" s="34">
        <v>0</v>
      </c>
      <c r="AH15" s="46"/>
      <c r="AI15" s="151">
        <f t="shared" si="4"/>
        <v>0</v>
      </c>
      <c r="AJ15" s="117">
        <f t="shared" si="4"/>
        <v>0</v>
      </c>
      <c r="AK15" s="151">
        <f t="shared" si="5"/>
        <v>0</v>
      </c>
      <c r="AL15" s="117">
        <f t="shared" si="5"/>
        <v>0</v>
      </c>
      <c r="AM15" s="151">
        <f t="shared" si="6"/>
        <v>0</v>
      </c>
      <c r="AN15" s="117">
        <f t="shared" si="7"/>
        <v>0</v>
      </c>
    </row>
    <row r="16" spans="1:40" ht="20.25" customHeight="1" x14ac:dyDescent="0.15">
      <c r="A16" s="21" t="s">
        <v>78</v>
      </c>
      <c r="B16" s="6" t="s">
        <v>69</v>
      </c>
      <c r="C16" s="34">
        <v>180000</v>
      </c>
      <c r="D16" s="4">
        <f>172010-3340</f>
        <v>168670</v>
      </c>
      <c r="E16" s="34">
        <v>180000</v>
      </c>
      <c r="F16" s="4">
        <f>172010-3340</f>
        <v>168670</v>
      </c>
      <c r="G16" s="34">
        <v>180000</v>
      </c>
      <c r="H16" s="46">
        <f>172010-3340</f>
        <v>168670</v>
      </c>
      <c r="I16" s="151">
        <f t="shared" si="0"/>
        <v>540000</v>
      </c>
      <c r="J16" s="117">
        <f t="shared" si="0"/>
        <v>506010</v>
      </c>
      <c r="K16" s="34">
        <v>180000</v>
      </c>
      <c r="L16" s="4">
        <f>173410-3340</f>
        <v>170070</v>
      </c>
      <c r="M16" s="34">
        <v>180000</v>
      </c>
      <c r="N16" s="4">
        <f>173410-3340</f>
        <v>170070</v>
      </c>
      <c r="O16" s="34">
        <v>180000</v>
      </c>
      <c r="P16" s="46">
        <f>173410-1670</f>
        <v>171740</v>
      </c>
      <c r="Q16" s="151">
        <f t="shared" si="1"/>
        <v>540000</v>
      </c>
      <c r="R16" s="117">
        <f t="shared" si="1"/>
        <v>511880</v>
      </c>
      <c r="S16" s="151">
        <f t="shared" si="2"/>
        <v>1080000</v>
      </c>
      <c r="T16" s="117">
        <f t="shared" si="2"/>
        <v>1017890</v>
      </c>
      <c r="U16" s="34">
        <v>180000</v>
      </c>
      <c r="V16" s="4">
        <f>165060-1670</f>
        <v>163390</v>
      </c>
      <c r="W16" s="34">
        <v>180000</v>
      </c>
      <c r="X16" s="4">
        <f>151700-1670</f>
        <v>150030</v>
      </c>
      <c r="Y16" s="44">
        <v>180000</v>
      </c>
      <c r="Z16" s="46">
        <f>149760-1670</f>
        <v>148090</v>
      </c>
      <c r="AA16" s="151">
        <f t="shared" si="3"/>
        <v>540000</v>
      </c>
      <c r="AB16" s="117">
        <f t="shared" si="3"/>
        <v>461510</v>
      </c>
      <c r="AC16" s="34">
        <v>180000</v>
      </c>
      <c r="AD16" s="4">
        <f>148630-1670</f>
        <v>146960</v>
      </c>
      <c r="AE16" s="34">
        <v>180000</v>
      </c>
      <c r="AF16" s="4">
        <f>148630-1670</f>
        <v>146960</v>
      </c>
      <c r="AG16" s="34">
        <v>180000</v>
      </c>
      <c r="AH16" s="46">
        <f>148630-1670</f>
        <v>146960</v>
      </c>
      <c r="AI16" s="151">
        <f t="shared" si="4"/>
        <v>540000</v>
      </c>
      <c r="AJ16" s="117">
        <f t="shared" si="4"/>
        <v>440880</v>
      </c>
      <c r="AK16" s="151">
        <f t="shared" si="5"/>
        <v>1080000</v>
      </c>
      <c r="AL16" s="117">
        <f t="shared" si="5"/>
        <v>902390</v>
      </c>
      <c r="AM16" s="151">
        <f t="shared" si="6"/>
        <v>2160000</v>
      </c>
      <c r="AN16" s="117">
        <f t="shared" si="7"/>
        <v>1920280</v>
      </c>
    </row>
    <row r="17" spans="1:40" ht="20.25" customHeight="1" x14ac:dyDescent="0.15">
      <c r="A17" s="21" t="s">
        <v>79</v>
      </c>
      <c r="B17" s="6" t="s">
        <v>70</v>
      </c>
      <c r="C17" s="34">
        <v>0</v>
      </c>
      <c r="D17" s="4"/>
      <c r="E17" s="34">
        <v>0</v>
      </c>
      <c r="F17" s="4"/>
      <c r="G17" s="34">
        <v>0</v>
      </c>
      <c r="H17" s="46"/>
      <c r="I17" s="151">
        <f t="shared" si="0"/>
        <v>0</v>
      </c>
      <c r="J17" s="117">
        <f t="shared" si="0"/>
        <v>0</v>
      </c>
      <c r="K17" s="34">
        <v>0</v>
      </c>
      <c r="L17" s="4"/>
      <c r="M17" s="34">
        <v>0</v>
      </c>
      <c r="N17" s="4"/>
      <c r="O17" s="34">
        <v>0</v>
      </c>
      <c r="P17" s="46"/>
      <c r="Q17" s="151">
        <f t="shared" si="1"/>
        <v>0</v>
      </c>
      <c r="R17" s="117">
        <f t="shared" si="1"/>
        <v>0</v>
      </c>
      <c r="S17" s="151">
        <f t="shared" si="2"/>
        <v>0</v>
      </c>
      <c r="T17" s="117">
        <f t="shared" si="2"/>
        <v>0</v>
      </c>
      <c r="U17" s="34">
        <v>0</v>
      </c>
      <c r="V17" s="4"/>
      <c r="W17" s="34">
        <v>0</v>
      </c>
      <c r="X17" s="4"/>
      <c r="Y17" s="44">
        <v>0</v>
      </c>
      <c r="Z17" s="46"/>
      <c r="AA17" s="151">
        <f t="shared" si="3"/>
        <v>0</v>
      </c>
      <c r="AB17" s="117">
        <f t="shared" si="3"/>
        <v>0</v>
      </c>
      <c r="AC17" s="34">
        <v>0</v>
      </c>
      <c r="AD17" s="4"/>
      <c r="AE17" s="34">
        <v>0</v>
      </c>
      <c r="AF17" s="4">
        <v>62500</v>
      </c>
      <c r="AG17" s="34">
        <v>0</v>
      </c>
      <c r="AH17" s="46"/>
      <c r="AI17" s="151">
        <f t="shared" si="4"/>
        <v>0</v>
      </c>
      <c r="AJ17" s="117">
        <f t="shared" si="4"/>
        <v>62500</v>
      </c>
      <c r="AK17" s="151">
        <f t="shared" si="5"/>
        <v>0</v>
      </c>
      <c r="AL17" s="117">
        <f t="shared" si="5"/>
        <v>62500</v>
      </c>
      <c r="AM17" s="151">
        <f t="shared" si="6"/>
        <v>0</v>
      </c>
      <c r="AN17" s="117">
        <f t="shared" si="7"/>
        <v>62500</v>
      </c>
    </row>
    <row r="18" spans="1:40" ht="20.25" customHeight="1" x14ac:dyDescent="0.15">
      <c r="A18" s="23"/>
      <c r="B18" s="6" t="s">
        <v>187</v>
      </c>
      <c r="C18" s="34">
        <v>0</v>
      </c>
      <c r="D18" s="4">
        <v>6518</v>
      </c>
      <c r="E18" s="34">
        <v>0</v>
      </c>
      <c r="F18" s="4">
        <v>6229</v>
      </c>
      <c r="G18" s="34">
        <v>0</v>
      </c>
      <c r="H18" s="46"/>
      <c r="I18" s="151">
        <f t="shared" si="0"/>
        <v>0</v>
      </c>
      <c r="J18" s="117">
        <f t="shared" si="0"/>
        <v>12747</v>
      </c>
      <c r="K18" s="34">
        <v>0</v>
      </c>
      <c r="L18" s="4"/>
      <c r="M18" s="34">
        <v>0</v>
      </c>
      <c r="N18" s="4"/>
      <c r="O18" s="34">
        <v>0</v>
      </c>
      <c r="P18" s="46"/>
      <c r="Q18" s="151">
        <f t="shared" si="1"/>
        <v>0</v>
      </c>
      <c r="R18" s="117">
        <f t="shared" si="1"/>
        <v>0</v>
      </c>
      <c r="S18" s="151">
        <f t="shared" si="2"/>
        <v>0</v>
      </c>
      <c r="T18" s="117">
        <f t="shared" si="2"/>
        <v>12747</v>
      </c>
      <c r="U18" s="34">
        <v>0</v>
      </c>
      <c r="V18" s="4"/>
      <c r="W18" s="34">
        <v>0</v>
      </c>
      <c r="X18" s="4"/>
      <c r="Y18" s="44">
        <v>0</v>
      </c>
      <c r="Z18" s="46">
        <v>7000</v>
      </c>
      <c r="AA18" s="151">
        <f t="shared" si="3"/>
        <v>0</v>
      </c>
      <c r="AB18" s="117">
        <f t="shared" si="3"/>
        <v>7000</v>
      </c>
      <c r="AC18" s="34">
        <v>200000</v>
      </c>
      <c r="AD18" s="4">
        <v>273754</v>
      </c>
      <c r="AE18" s="34">
        <v>100000</v>
      </c>
      <c r="AF18" s="4"/>
      <c r="AG18" s="34">
        <v>50000</v>
      </c>
      <c r="AH18" s="46">
        <f>214034</f>
        <v>214034</v>
      </c>
      <c r="AI18" s="151">
        <f t="shared" si="4"/>
        <v>350000</v>
      </c>
      <c r="AJ18" s="117">
        <f t="shared" si="4"/>
        <v>487788</v>
      </c>
      <c r="AK18" s="151">
        <f t="shared" si="5"/>
        <v>350000</v>
      </c>
      <c r="AL18" s="117">
        <f t="shared" si="5"/>
        <v>494788</v>
      </c>
      <c r="AM18" s="151">
        <f t="shared" si="6"/>
        <v>350000</v>
      </c>
      <c r="AN18" s="117">
        <f t="shared" si="7"/>
        <v>507535</v>
      </c>
    </row>
    <row r="19" spans="1:40" ht="20.25" customHeight="1" thickBot="1" x14ac:dyDescent="0.2">
      <c r="A19" s="23"/>
      <c r="B19" s="6" t="s">
        <v>72</v>
      </c>
      <c r="C19" s="34">
        <v>30000</v>
      </c>
      <c r="D19" s="4">
        <v>30000</v>
      </c>
      <c r="E19" s="34">
        <v>30000</v>
      </c>
      <c r="F19" s="4">
        <v>30000</v>
      </c>
      <c r="G19" s="34">
        <v>30000</v>
      </c>
      <c r="H19" s="46">
        <v>30000</v>
      </c>
      <c r="I19" s="151">
        <f t="shared" si="0"/>
        <v>90000</v>
      </c>
      <c r="J19" s="117">
        <f t="shared" si="0"/>
        <v>90000</v>
      </c>
      <c r="K19" s="34">
        <v>30000</v>
      </c>
      <c r="L19" s="4">
        <v>30000</v>
      </c>
      <c r="M19" s="34">
        <v>30000</v>
      </c>
      <c r="N19" s="4">
        <v>30000</v>
      </c>
      <c r="O19" s="34">
        <v>30000</v>
      </c>
      <c r="P19" s="46">
        <v>30000</v>
      </c>
      <c r="Q19" s="151">
        <f t="shared" si="1"/>
        <v>90000</v>
      </c>
      <c r="R19" s="117">
        <f t="shared" si="1"/>
        <v>90000</v>
      </c>
      <c r="S19" s="151">
        <f t="shared" si="2"/>
        <v>180000</v>
      </c>
      <c r="T19" s="117">
        <f t="shared" si="2"/>
        <v>180000</v>
      </c>
      <c r="U19" s="34">
        <v>30000</v>
      </c>
      <c r="V19" s="4">
        <v>30000</v>
      </c>
      <c r="W19" s="34">
        <v>30000</v>
      </c>
      <c r="X19" s="89">
        <v>30000</v>
      </c>
      <c r="Y19" s="44">
        <v>30000</v>
      </c>
      <c r="Z19" s="137">
        <v>30000</v>
      </c>
      <c r="AA19" s="151">
        <f t="shared" si="3"/>
        <v>90000</v>
      </c>
      <c r="AB19" s="117">
        <f t="shared" si="3"/>
        <v>90000</v>
      </c>
      <c r="AC19" s="34">
        <v>30000</v>
      </c>
      <c r="AD19" s="4">
        <v>30000</v>
      </c>
      <c r="AE19" s="34">
        <v>30000</v>
      </c>
      <c r="AF19" s="4">
        <v>30000</v>
      </c>
      <c r="AG19" s="34">
        <v>30000</v>
      </c>
      <c r="AH19" s="46">
        <v>30000</v>
      </c>
      <c r="AI19" s="151">
        <f t="shared" si="4"/>
        <v>90000</v>
      </c>
      <c r="AJ19" s="117">
        <f t="shared" si="4"/>
        <v>90000</v>
      </c>
      <c r="AK19" s="151">
        <f t="shared" si="5"/>
        <v>180000</v>
      </c>
      <c r="AL19" s="117">
        <f t="shared" si="5"/>
        <v>180000</v>
      </c>
      <c r="AM19" s="151">
        <f t="shared" si="6"/>
        <v>360000</v>
      </c>
      <c r="AN19" s="117">
        <f t="shared" si="7"/>
        <v>360000</v>
      </c>
    </row>
    <row r="20" spans="1:40" ht="20.25" customHeight="1" thickTop="1" thickBot="1" x14ac:dyDescent="0.2">
      <c r="A20" s="24"/>
      <c r="B20" s="7" t="s">
        <v>27</v>
      </c>
      <c r="C20" s="36">
        <f>SUM(C6:C19)</f>
        <v>29988139</v>
      </c>
      <c r="D20" s="8">
        <f t="shared" ref="D20:AM20" si="8">SUM(D6:D19)</f>
        <v>29721835</v>
      </c>
      <c r="E20" s="36">
        <f t="shared" si="8"/>
        <v>30104471.199999999</v>
      </c>
      <c r="F20" s="8">
        <f t="shared" si="8"/>
        <v>29877106</v>
      </c>
      <c r="G20" s="36">
        <f t="shared" si="8"/>
        <v>29930321.199999999</v>
      </c>
      <c r="H20" s="48">
        <f t="shared" si="8"/>
        <v>29287545</v>
      </c>
      <c r="I20" s="36">
        <f t="shared" si="8"/>
        <v>90022931.400000006</v>
      </c>
      <c r="J20" s="8">
        <f t="shared" si="8"/>
        <v>88886486</v>
      </c>
      <c r="K20" s="36">
        <f t="shared" si="8"/>
        <v>29957953</v>
      </c>
      <c r="L20" s="8">
        <f t="shared" si="8"/>
        <v>29092711</v>
      </c>
      <c r="M20" s="36">
        <f t="shared" si="8"/>
        <v>29988371.199999999</v>
      </c>
      <c r="N20" s="8">
        <f t="shared" si="8"/>
        <v>29114272</v>
      </c>
      <c r="O20" s="36">
        <f t="shared" si="8"/>
        <v>29930321.199999999</v>
      </c>
      <c r="P20" s="48">
        <f t="shared" si="8"/>
        <v>26775451</v>
      </c>
      <c r="Q20" s="36">
        <f t="shared" si="8"/>
        <v>89876645.400000006</v>
      </c>
      <c r="R20" s="8">
        <f t="shared" si="8"/>
        <v>84982434</v>
      </c>
      <c r="S20" s="36">
        <f t="shared" si="8"/>
        <v>179899576.80000001</v>
      </c>
      <c r="T20" s="8">
        <f t="shared" si="8"/>
        <v>173868920</v>
      </c>
      <c r="U20" s="36">
        <f t="shared" si="8"/>
        <v>29988371.199999999</v>
      </c>
      <c r="V20" s="8">
        <f t="shared" si="8"/>
        <v>26666820</v>
      </c>
      <c r="W20" s="36">
        <f t="shared" si="8"/>
        <v>29959346.199999999</v>
      </c>
      <c r="X20" s="8">
        <f t="shared" si="8"/>
        <v>26492094</v>
      </c>
      <c r="Y20" s="36">
        <f t="shared" si="8"/>
        <v>29930321.199999999</v>
      </c>
      <c r="Z20" s="48">
        <f t="shared" si="8"/>
        <v>27073969</v>
      </c>
      <c r="AA20" s="36">
        <f t="shared" si="8"/>
        <v>89878038.599999994</v>
      </c>
      <c r="AB20" s="8">
        <f t="shared" si="8"/>
        <v>80232883</v>
      </c>
      <c r="AC20" s="36">
        <f t="shared" si="8"/>
        <v>30130321.199999999</v>
      </c>
      <c r="AD20" s="8">
        <f t="shared" si="8"/>
        <v>27433202</v>
      </c>
      <c r="AE20" s="36">
        <f t="shared" si="8"/>
        <v>30116003</v>
      </c>
      <c r="AF20" s="8">
        <f t="shared" si="8"/>
        <v>27614512</v>
      </c>
      <c r="AG20" s="36">
        <f t="shared" si="8"/>
        <v>29978928</v>
      </c>
      <c r="AH20" s="48">
        <f t="shared" si="8"/>
        <v>27780459</v>
      </c>
      <c r="AI20" s="36">
        <f t="shared" si="8"/>
        <v>90225252.200000003</v>
      </c>
      <c r="AJ20" s="8">
        <f t="shared" si="8"/>
        <v>82828173</v>
      </c>
      <c r="AK20" s="36">
        <f t="shared" si="8"/>
        <v>180103290.80000001</v>
      </c>
      <c r="AL20" s="8">
        <f t="shared" si="8"/>
        <v>163061056</v>
      </c>
      <c r="AM20" s="36">
        <f t="shared" si="8"/>
        <v>360002867.60000002</v>
      </c>
      <c r="AN20" s="8">
        <f t="shared" si="7"/>
        <v>336929976</v>
      </c>
    </row>
    <row r="21" spans="1:40" ht="20.25" customHeight="1" x14ac:dyDescent="0.15">
      <c r="A21" s="218" t="s">
        <v>28</v>
      </c>
      <c r="B21" s="219"/>
      <c r="C21" s="37">
        <f>C5-C20</f>
        <v>5910001</v>
      </c>
      <c r="D21" s="9">
        <f t="shared" ref="D21:AM21" si="9">D5-D20</f>
        <v>5668934</v>
      </c>
      <c r="E21" s="37">
        <f t="shared" si="9"/>
        <v>7076068.8000000007</v>
      </c>
      <c r="F21" s="9">
        <f t="shared" si="9"/>
        <v>6244229</v>
      </c>
      <c r="G21" s="37">
        <f t="shared" si="9"/>
        <v>6599018.8000000007</v>
      </c>
      <c r="H21" s="49">
        <f t="shared" si="9"/>
        <v>6889242</v>
      </c>
      <c r="I21" s="37">
        <f t="shared" si="9"/>
        <v>19585088.599999994</v>
      </c>
      <c r="J21" s="9">
        <f t="shared" si="9"/>
        <v>18802405</v>
      </c>
      <c r="K21" s="37">
        <f t="shared" si="9"/>
        <v>6295787</v>
      </c>
      <c r="L21" s="9">
        <f t="shared" si="9"/>
        <v>6571509</v>
      </c>
      <c r="M21" s="37">
        <f t="shared" si="9"/>
        <v>7192168.8000000007</v>
      </c>
      <c r="N21" s="9">
        <f t="shared" si="9"/>
        <v>6737685</v>
      </c>
      <c r="O21" s="37">
        <f t="shared" si="9"/>
        <v>7498053.8000000007</v>
      </c>
      <c r="P21" s="49">
        <f t="shared" si="9"/>
        <v>6920212</v>
      </c>
      <c r="Q21" s="37">
        <f t="shared" si="9"/>
        <v>20986009.599999994</v>
      </c>
      <c r="R21" s="9">
        <f t="shared" si="9"/>
        <v>20229406</v>
      </c>
      <c r="S21" s="37">
        <f t="shared" si="9"/>
        <v>40571098.199999988</v>
      </c>
      <c r="T21" s="9">
        <f t="shared" si="9"/>
        <v>39031811</v>
      </c>
      <c r="U21" s="37">
        <f t="shared" si="9"/>
        <v>8091203.8000000007</v>
      </c>
      <c r="V21" s="9">
        <f t="shared" si="9"/>
        <v>6969546</v>
      </c>
      <c r="W21" s="37">
        <f t="shared" si="9"/>
        <v>7794628.8000000007</v>
      </c>
      <c r="X21" s="9">
        <f t="shared" si="9"/>
        <v>6780876</v>
      </c>
      <c r="Y21" s="37">
        <f t="shared" si="9"/>
        <v>7498053.8000000007</v>
      </c>
      <c r="Z21" s="49">
        <f t="shared" si="9"/>
        <v>6303750</v>
      </c>
      <c r="AA21" s="37">
        <f t="shared" si="9"/>
        <v>23383886.400000006</v>
      </c>
      <c r="AB21" s="9">
        <f t="shared" si="9"/>
        <v>20054172</v>
      </c>
      <c r="AC21" s="37">
        <f t="shared" si="9"/>
        <v>7298053.8000000007</v>
      </c>
      <c r="AD21" s="9">
        <f t="shared" si="9"/>
        <v>5918362</v>
      </c>
      <c r="AE21" s="37">
        <f t="shared" si="9"/>
        <v>7637972</v>
      </c>
      <c r="AF21" s="9">
        <f t="shared" si="9"/>
        <v>5940127</v>
      </c>
      <c r="AG21" s="37">
        <f t="shared" si="9"/>
        <v>6818247</v>
      </c>
      <c r="AH21" s="49">
        <f t="shared" si="9"/>
        <v>5348386</v>
      </c>
      <c r="AI21" s="37">
        <f t="shared" si="9"/>
        <v>21754272.799999997</v>
      </c>
      <c r="AJ21" s="9">
        <f t="shared" si="9"/>
        <v>17206875</v>
      </c>
      <c r="AK21" s="37">
        <f t="shared" si="9"/>
        <v>45138159.199999988</v>
      </c>
      <c r="AL21" s="9">
        <f t="shared" si="9"/>
        <v>37261047</v>
      </c>
      <c r="AM21" s="37">
        <f t="shared" si="9"/>
        <v>85709257.399999976</v>
      </c>
      <c r="AN21" s="9">
        <f t="shared" si="7"/>
        <v>76292858</v>
      </c>
    </row>
    <row r="22" spans="1:40" s="11" customFormat="1" ht="20.25" customHeight="1" thickBot="1" x14ac:dyDescent="0.2">
      <c r="A22" s="210" t="s">
        <v>29</v>
      </c>
      <c r="B22" s="211"/>
      <c r="C22" s="38">
        <f>IF(C5=0,"        ―",C21/C5)</f>
        <v>0.16463251299370943</v>
      </c>
      <c r="D22" s="10">
        <f t="shared" ref="D22:AN22" si="10">IF(D5=0,"        ―",D21/D5)</f>
        <v>0.16018114780156373</v>
      </c>
      <c r="E22" s="38">
        <f t="shared" si="10"/>
        <v>0.1903164612455871</v>
      </c>
      <c r="F22" s="10">
        <f t="shared" si="10"/>
        <v>0.1728681678016607</v>
      </c>
      <c r="G22" s="38">
        <f t="shared" si="10"/>
        <v>0.18064982285472447</v>
      </c>
      <c r="H22" s="50">
        <f t="shared" si="10"/>
        <v>0.19043266611819343</v>
      </c>
      <c r="I22" s="38">
        <f t="shared" si="10"/>
        <v>0.17868298870830798</v>
      </c>
      <c r="J22" s="10">
        <f t="shared" si="10"/>
        <v>0.17459930012650979</v>
      </c>
      <c r="K22" s="38">
        <f t="shared" si="10"/>
        <v>0.17365896594392743</v>
      </c>
      <c r="L22" s="10">
        <f t="shared" si="10"/>
        <v>0.18426055581756731</v>
      </c>
      <c r="M22" s="38">
        <f t="shared" si="10"/>
        <v>0.19343906247730669</v>
      </c>
      <c r="N22" s="10">
        <f t="shared" si="10"/>
        <v>0.18793074531468393</v>
      </c>
      <c r="O22" s="38">
        <f t="shared" si="10"/>
        <v>0.20033073303342719</v>
      </c>
      <c r="P22" s="50">
        <f t="shared" si="10"/>
        <v>0.20537396756371881</v>
      </c>
      <c r="Q22" s="38">
        <f t="shared" si="10"/>
        <v>0.18929737520718762</v>
      </c>
      <c r="R22" s="10">
        <f t="shared" si="10"/>
        <v>0.19227309397877654</v>
      </c>
      <c r="S22" s="38">
        <f t="shared" si="10"/>
        <v>0.18402038366326945</v>
      </c>
      <c r="T22" s="10">
        <f t="shared" si="10"/>
        <v>0.18333338179097186</v>
      </c>
      <c r="U22" s="38">
        <f t="shared" si="10"/>
        <v>0.21248146283145231</v>
      </c>
      <c r="V22" s="10">
        <f t="shared" si="10"/>
        <v>0.2072027043587289</v>
      </c>
      <c r="W22" s="38">
        <f t="shared" si="10"/>
        <v>0.20645849344340564</v>
      </c>
      <c r="X22" s="10">
        <f t="shared" si="10"/>
        <v>0.2037953329684726</v>
      </c>
      <c r="Y22" s="38">
        <f t="shared" si="10"/>
        <v>0.20033073303342719</v>
      </c>
      <c r="Z22" s="50">
        <f t="shared" si="10"/>
        <v>0.18886101833381724</v>
      </c>
      <c r="AA22" s="38">
        <f t="shared" si="10"/>
        <v>0.20645849344340569</v>
      </c>
      <c r="AB22" s="10">
        <f t="shared" si="10"/>
        <v>0.19996770271098299</v>
      </c>
      <c r="AC22" s="38">
        <f t="shared" si="10"/>
        <v>0.19498719353966076</v>
      </c>
      <c r="AD22" s="10">
        <f t="shared" si="10"/>
        <v>0.17745380696389532</v>
      </c>
      <c r="AE22" s="38">
        <f t="shared" si="10"/>
        <v>0.20230908136163145</v>
      </c>
      <c r="AF22" s="10">
        <f t="shared" si="10"/>
        <v>0.17702848777482005</v>
      </c>
      <c r="AG22" s="38">
        <f t="shared" si="10"/>
        <v>0.18529267532086363</v>
      </c>
      <c r="AH22" s="50">
        <f t="shared" si="10"/>
        <v>0.16144196998114482</v>
      </c>
      <c r="AI22" s="38">
        <f t="shared" si="10"/>
        <v>0.19427009357290984</v>
      </c>
      <c r="AJ22" s="10">
        <f t="shared" si="10"/>
        <v>0.17200846447337137</v>
      </c>
      <c r="AK22" s="38">
        <f t="shared" si="10"/>
        <v>0.2003989905055219</v>
      </c>
      <c r="AL22" s="10">
        <f t="shared" si="10"/>
        <v>0.18600567007825392</v>
      </c>
      <c r="AM22" s="38">
        <f t="shared" si="10"/>
        <v>0.19229734304401069</v>
      </c>
      <c r="AN22" s="10">
        <f t="shared" si="10"/>
        <v>0.18462885330291307</v>
      </c>
    </row>
    <row r="23" spans="1:40" ht="20.25" customHeight="1" x14ac:dyDescent="0.15">
      <c r="A23" s="25" t="s">
        <v>30</v>
      </c>
      <c r="B23" s="3" t="s">
        <v>31</v>
      </c>
      <c r="C23" s="34">
        <v>617000</v>
      </c>
      <c r="D23" s="4">
        <v>617000</v>
      </c>
      <c r="E23" s="34">
        <v>617000</v>
      </c>
      <c r="F23" s="4">
        <v>617000</v>
      </c>
      <c r="G23" s="34">
        <v>617000</v>
      </c>
      <c r="H23" s="46">
        <v>617000</v>
      </c>
      <c r="I23" s="151">
        <f>C23+E23+G23</f>
        <v>1851000</v>
      </c>
      <c r="J23" s="117">
        <f>D23+F23+H23</f>
        <v>1851000</v>
      </c>
      <c r="K23" s="34">
        <v>617000</v>
      </c>
      <c r="L23" s="4">
        <v>617000</v>
      </c>
      <c r="M23" s="34">
        <v>617000</v>
      </c>
      <c r="N23" s="4">
        <v>617000</v>
      </c>
      <c r="O23" s="34">
        <v>617000</v>
      </c>
      <c r="P23" s="46">
        <v>617000</v>
      </c>
      <c r="Q23" s="151">
        <f>K23+M23+O23</f>
        <v>1851000</v>
      </c>
      <c r="R23" s="117">
        <f>L23+N23+P23</f>
        <v>1851000</v>
      </c>
      <c r="S23" s="151">
        <f>I23+Q23</f>
        <v>3702000</v>
      </c>
      <c r="T23" s="117">
        <f>J23+R23</f>
        <v>3702000</v>
      </c>
      <c r="U23" s="34">
        <v>617000</v>
      </c>
      <c r="V23" s="4">
        <v>617000</v>
      </c>
      <c r="W23" s="34">
        <v>617000</v>
      </c>
      <c r="X23" s="4">
        <v>617000</v>
      </c>
      <c r="Y23" s="34">
        <v>617000</v>
      </c>
      <c r="Z23" s="46">
        <v>617000</v>
      </c>
      <c r="AA23" s="151">
        <f>U23+W23+Y23</f>
        <v>1851000</v>
      </c>
      <c r="AB23" s="117">
        <f>V23+X23+Z23</f>
        <v>1851000</v>
      </c>
      <c r="AC23" s="34">
        <v>617000</v>
      </c>
      <c r="AD23" s="4">
        <v>617000</v>
      </c>
      <c r="AE23" s="34">
        <v>617000</v>
      </c>
      <c r="AF23" s="4">
        <v>617000</v>
      </c>
      <c r="AG23" s="34">
        <v>617000</v>
      </c>
      <c r="AH23" s="46">
        <v>617000</v>
      </c>
      <c r="AI23" s="151">
        <f>AC23+AE23+AG23</f>
        <v>1851000</v>
      </c>
      <c r="AJ23" s="117">
        <f>AD23+AF23+AH23</f>
        <v>1851000</v>
      </c>
      <c r="AK23" s="151">
        <f>AA23+AI23</f>
        <v>3702000</v>
      </c>
      <c r="AL23" s="117">
        <f>AB23+AJ23</f>
        <v>3702000</v>
      </c>
      <c r="AM23" s="151">
        <f t="shared" ref="AM23:AM57" si="11">S23+AK23</f>
        <v>7404000</v>
      </c>
      <c r="AN23" s="117">
        <f t="shared" ref="AN23:AN60" si="12">SUM(D23,F23,H23,L23,N23,P23,V23,X23,Z23,AD23,AF23,AH23)</f>
        <v>7404000</v>
      </c>
    </row>
    <row r="24" spans="1:40" ht="20.25" customHeight="1" x14ac:dyDescent="0.15">
      <c r="A24" s="21" t="s">
        <v>80</v>
      </c>
      <c r="B24" s="5" t="s">
        <v>32</v>
      </c>
      <c r="C24" s="34">
        <v>0</v>
      </c>
      <c r="D24" s="4">
        <v>0</v>
      </c>
      <c r="E24" s="34">
        <v>0</v>
      </c>
      <c r="F24" s="4">
        <v>0</v>
      </c>
      <c r="G24" s="34">
        <v>0</v>
      </c>
      <c r="H24" s="46">
        <v>0</v>
      </c>
      <c r="I24" s="151">
        <f t="shared" ref="I24:J31" si="13">C24+E24+G24</f>
        <v>0</v>
      </c>
      <c r="J24" s="117">
        <f t="shared" si="13"/>
        <v>0</v>
      </c>
      <c r="K24" s="34">
        <v>0</v>
      </c>
      <c r="L24" s="4">
        <v>0</v>
      </c>
      <c r="M24" s="34">
        <v>0</v>
      </c>
      <c r="N24" s="4">
        <v>0</v>
      </c>
      <c r="O24" s="34">
        <v>0</v>
      </c>
      <c r="P24" s="46">
        <v>0</v>
      </c>
      <c r="Q24" s="151">
        <f t="shared" ref="Q24:R31" si="14">K24+M24+O24</f>
        <v>0</v>
      </c>
      <c r="R24" s="117">
        <f t="shared" si="14"/>
        <v>0</v>
      </c>
      <c r="S24" s="151">
        <f t="shared" ref="S24:T31" si="15">I24+Q24</f>
        <v>0</v>
      </c>
      <c r="T24" s="117">
        <f t="shared" si="15"/>
        <v>0</v>
      </c>
      <c r="U24" s="34">
        <v>0</v>
      </c>
      <c r="V24" s="4">
        <v>0</v>
      </c>
      <c r="W24" s="34">
        <v>0</v>
      </c>
      <c r="X24" s="4">
        <v>0</v>
      </c>
      <c r="Y24" s="34">
        <v>0</v>
      </c>
      <c r="Z24" s="46">
        <v>0</v>
      </c>
      <c r="AA24" s="151">
        <f t="shared" ref="AA24:AB31" si="16">U24+W24+Y24</f>
        <v>0</v>
      </c>
      <c r="AB24" s="117">
        <f t="shared" si="16"/>
        <v>0</v>
      </c>
      <c r="AC24" s="34">
        <v>0</v>
      </c>
      <c r="AD24" s="4">
        <v>0</v>
      </c>
      <c r="AE24" s="34">
        <v>0</v>
      </c>
      <c r="AF24" s="4">
        <v>0</v>
      </c>
      <c r="AG24" s="34">
        <v>0</v>
      </c>
      <c r="AH24" s="46">
        <v>0</v>
      </c>
      <c r="AI24" s="151">
        <f t="shared" ref="AI24:AJ31" si="17">AC24+AE24+AG24</f>
        <v>0</v>
      </c>
      <c r="AJ24" s="117">
        <f t="shared" si="17"/>
        <v>0</v>
      </c>
      <c r="AK24" s="151">
        <f t="shared" ref="AK24:AL31" si="18">AA24+AI24</f>
        <v>0</v>
      </c>
      <c r="AL24" s="117">
        <f t="shared" si="18"/>
        <v>0</v>
      </c>
      <c r="AM24" s="151">
        <f t="shared" si="11"/>
        <v>0</v>
      </c>
      <c r="AN24" s="117">
        <f t="shared" si="12"/>
        <v>0</v>
      </c>
    </row>
    <row r="25" spans="1:40" ht="20.25" customHeight="1" x14ac:dyDescent="0.15">
      <c r="A25" s="23"/>
      <c r="B25" s="5" t="s">
        <v>33</v>
      </c>
      <c r="C25" s="34">
        <v>0</v>
      </c>
      <c r="D25" s="4">
        <v>0</v>
      </c>
      <c r="E25" s="34">
        <v>0</v>
      </c>
      <c r="F25" s="4">
        <v>0</v>
      </c>
      <c r="G25" s="34">
        <v>0</v>
      </c>
      <c r="H25" s="46">
        <v>0</v>
      </c>
      <c r="I25" s="151">
        <f t="shared" si="13"/>
        <v>0</v>
      </c>
      <c r="J25" s="117">
        <f t="shared" si="13"/>
        <v>0</v>
      </c>
      <c r="K25" s="34">
        <v>0</v>
      </c>
      <c r="L25" s="4">
        <v>0</v>
      </c>
      <c r="M25" s="34">
        <v>0</v>
      </c>
      <c r="N25" s="4">
        <v>0</v>
      </c>
      <c r="O25" s="34">
        <v>0</v>
      </c>
      <c r="P25" s="46">
        <v>0</v>
      </c>
      <c r="Q25" s="151">
        <f t="shared" si="14"/>
        <v>0</v>
      </c>
      <c r="R25" s="117">
        <f t="shared" si="14"/>
        <v>0</v>
      </c>
      <c r="S25" s="151">
        <f t="shared" si="15"/>
        <v>0</v>
      </c>
      <c r="T25" s="117">
        <f t="shared" si="15"/>
        <v>0</v>
      </c>
      <c r="U25" s="34">
        <v>0</v>
      </c>
      <c r="V25" s="4">
        <v>0</v>
      </c>
      <c r="W25" s="34">
        <v>0</v>
      </c>
      <c r="X25" s="4">
        <v>0</v>
      </c>
      <c r="Y25" s="34">
        <v>0</v>
      </c>
      <c r="Z25" s="46">
        <v>0</v>
      </c>
      <c r="AA25" s="151">
        <f t="shared" si="16"/>
        <v>0</v>
      </c>
      <c r="AB25" s="117">
        <f t="shared" si="16"/>
        <v>0</v>
      </c>
      <c r="AC25" s="34">
        <v>0</v>
      </c>
      <c r="AD25" s="4">
        <v>0</v>
      </c>
      <c r="AE25" s="34">
        <v>0</v>
      </c>
      <c r="AF25" s="4">
        <v>1000000</v>
      </c>
      <c r="AG25" s="34">
        <v>0</v>
      </c>
      <c r="AH25" s="46">
        <v>1000000</v>
      </c>
      <c r="AI25" s="151">
        <f t="shared" si="17"/>
        <v>0</v>
      </c>
      <c r="AJ25" s="117">
        <f t="shared" si="17"/>
        <v>2000000</v>
      </c>
      <c r="AK25" s="151">
        <f t="shared" si="18"/>
        <v>0</v>
      </c>
      <c r="AL25" s="117">
        <f t="shared" si="18"/>
        <v>2000000</v>
      </c>
      <c r="AM25" s="151">
        <f t="shared" si="11"/>
        <v>0</v>
      </c>
      <c r="AN25" s="117">
        <f t="shared" si="12"/>
        <v>2000000</v>
      </c>
    </row>
    <row r="26" spans="1:40" ht="20.25" customHeight="1" x14ac:dyDescent="0.15">
      <c r="A26" s="23"/>
      <c r="B26" s="5" t="s">
        <v>22</v>
      </c>
      <c r="C26" s="34">
        <v>33442</v>
      </c>
      <c r="D26" s="4">
        <v>33442</v>
      </c>
      <c r="E26" s="34">
        <v>33442</v>
      </c>
      <c r="F26" s="4">
        <v>33215</v>
      </c>
      <c r="G26" s="34">
        <v>33442</v>
      </c>
      <c r="H26" s="46">
        <v>33215</v>
      </c>
      <c r="I26" s="151">
        <f t="shared" si="13"/>
        <v>100326</v>
      </c>
      <c r="J26" s="117">
        <f t="shared" si="13"/>
        <v>99872</v>
      </c>
      <c r="K26" s="34">
        <v>33442</v>
      </c>
      <c r="L26" s="4">
        <v>33215</v>
      </c>
      <c r="M26" s="34">
        <v>33442</v>
      </c>
      <c r="N26" s="4">
        <v>33215</v>
      </c>
      <c r="O26" s="34">
        <v>33442</v>
      </c>
      <c r="P26" s="46">
        <v>33215</v>
      </c>
      <c r="Q26" s="151">
        <f t="shared" si="14"/>
        <v>100326</v>
      </c>
      <c r="R26" s="117">
        <f t="shared" si="14"/>
        <v>99645</v>
      </c>
      <c r="S26" s="151">
        <f t="shared" si="15"/>
        <v>200652</v>
      </c>
      <c r="T26" s="117">
        <f t="shared" si="15"/>
        <v>199517</v>
      </c>
      <c r="U26" s="34">
        <v>33442</v>
      </c>
      <c r="V26" s="4">
        <v>33215</v>
      </c>
      <c r="W26" s="34">
        <v>33442</v>
      </c>
      <c r="X26" s="4">
        <v>33215</v>
      </c>
      <c r="Y26" s="34">
        <v>33442</v>
      </c>
      <c r="Z26" s="46">
        <v>33215</v>
      </c>
      <c r="AA26" s="151">
        <f t="shared" si="16"/>
        <v>100326</v>
      </c>
      <c r="AB26" s="117">
        <f t="shared" si="16"/>
        <v>99645</v>
      </c>
      <c r="AC26" s="34">
        <v>33442</v>
      </c>
      <c r="AD26" s="4">
        <v>33215</v>
      </c>
      <c r="AE26" s="34">
        <v>33442</v>
      </c>
      <c r="AF26" s="4">
        <v>33215</v>
      </c>
      <c r="AG26" s="34">
        <v>33442</v>
      </c>
      <c r="AH26" s="46">
        <v>33215</v>
      </c>
      <c r="AI26" s="151">
        <f t="shared" si="17"/>
        <v>100326</v>
      </c>
      <c r="AJ26" s="117">
        <f t="shared" si="17"/>
        <v>99645</v>
      </c>
      <c r="AK26" s="151">
        <f t="shared" si="18"/>
        <v>200652</v>
      </c>
      <c r="AL26" s="117">
        <f t="shared" si="18"/>
        <v>199290</v>
      </c>
      <c r="AM26" s="151">
        <f t="shared" si="11"/>
        <v>401304</v>
      </c>
      <c r="AN26" s="117">
        <f t="shared" si="12"/>
        <v>398807</v>
      </c>
    </row>
    <row r="27" spans="1:40" ht="20.25" customHeight="1" x14ac:dyDescent="0.15">
      <c r="A27" s="23"/>
      <c r="B27" s="5" t="s">
        <v>67</v>
      </c>
      <c r="C27" s="34">
        <v>5850</v>
      </c>
      <c r="D27" s="4">
        <v>5850</v>
      </c>
      <c r="E27" s="34">
        <v>5850</v>
      </c>
      <c r="F27" s="4">
        <v>5330</v>
      </c>
      <c r="G27" s="34">
        <v>5850</v>
      </c>
      <c r="H27" s="46">
        <v>5330</v>
      </c>
      <c r="I27" s="151">
        <f t="shared" si="13"/>
        <v>17550</v>
      </c>
      <c r="J27" s="117">
        <f t="shared" si="13"/>
        <v>16510</v>
      </c>
      <c r="K27" s="34">
        <v>5850</v>
      </c>
      <c r="L27" s="4">
        <v>5330</v>
      </c>
      <c r="M27" s="34">
        <v>5850</v>
      </c>
      <c r="N27" s="4">
        <v>5330</v>
      </c>
      <c r="O27" s="34">
        <v>5850</v>
      </c>
      <c r="P27" s="46">
        <v>5330</v>
      </c>
      <c r="Q27" s="151">
        <f t="shared" si="14"/>
        <v>17550</v>
      </c>
      <c r="R27" s="117">
        <f t="shared" si="14"/>
        <v>15990</v>
      </c>
      <c r="S27" s="151">
        <f t="shared" si="15"/>
        <v>35100</v>
      </c>
      <c r="T27" s="117">
        <f t="shared" si="15"/>
        <v>32500</v>
      </c>
      <c r="U27" s="34">
        <v>5850</v>
      </c>
      <c r="V27" s="4">
        <v>5330</v>
      </c>
      <c r="W27" s="34">
        <v>5850</v>
      </c>
      <c r="X27" s="4">
        <v>5330</v>
      </c>
      <c r="Y27" s="34">
        <v>5850</v>
      </c>
      <c r="Z27" s="46">
        <v>5330</v>
      </c>
      <c r="AA27" s="151">
        <f t="shared" si="16"/>
        <v>17550</v>
      </c>
      <c r="AB27" s="117">
        <f t="shared" si="16"/>
        <v>15990</v>
      </c>
      <c r="AC27" s="34">
        <v>5850</v>
      </c>
      <c r="AD27" s="4">
        <v>5330</v>
      </c>
      <c r="AE27" s="34">
        <v>5850</v>
      </c>
      <c r="AF27" s="4">
        <v>5330</v>
      </c>
      <c r="AG27" s="34">
        <v>5850</v>
      </c>
      <c r="AH27" s="46">
        <v>5330</v>
      </c>
      <c r="AI27" s="151">
        <f t="shared" si="17"/>
        <v>17550</v>
      </c>
      <c r="AJ27" s="117">
        <f t="shared" si="17"/>
        <v>15990</v>
      </c>
      <c r="AK27" s="151">
        <f t="shared" si="18"/>
        <v>35100</v>
      </c>
      <c r="AL27" s="117">
        <f t="shared" si="18"/>
        <v>31980</v>
      </c>
      <c r="AM27" s="151">
        <f t="shared" si="11"/>
        <v>70200</v>
      </c>
      <c r="AN27" s="117">
        <f t="shared" si="12"/>
        <v>64480</v>
      </c>
    </row>
    <row r="28" spans="1:40" ht="20.25" customHeight="1" x14ac:dyDescent="0.15">
      <c r="A28" s="23"/>
      <c r="B28" s="5" t="s">
        <v>23</v>
      </c>
      <c r="C28" s="34">
        <v>59475</v>
      </c>
      <c r="D28" s="4">
        <v>59475</v>
      </c>
      <c r="E28" s="34">
        <v>59475</v>
      </c>
      <c r="F28" s="4">
        <v>59475</v>
      </c>
      <c r="G28" s="34">
        <v>59475</v>
      </c>
      <c r="H28" s="46">
        <v>59475</v>
      </c>
      <c r="I28" s="151">
        <f t="shared" si="13"/>
        <v>178425</v>
      </c>
      <c r="J28" s="117">
        <f t="shared" si="13"/>
        <v>178425</v>
      </c>
      <c r="K28" s="34">
        <v>59475</v>
      </c>
      <c r="L28" s="4">
        <v>59475</v>
      </c>
      <c r="M28" s="34">
        <v>59475</v>
      </c>
      <c r="N28" s="4">
        <v>59475</v>
      </c>
      <c r="O28" s="34">
        <v>59475</v>
      </c>
      <c r="P28" s="46">
        <v>59475</v>
      </c>
      <c r="Q28" s="151">
        <f t="shared" si="14"/>
        <v>178425</v>
      </c>
      <c r="R28" s="117">
        <f t="shared" si="14"/>
        <v>178425</v>
      </c>
      <c r="S28" s="151">
        <f t="shared" si="15"/>
        <v>356850</v>
      </c>
      <c r="T28" s="117">
        <f t="shared" si="15"/>
        <v>356850</v>
      </c>
      <c r="U28" s="34">
        <v>59475</v>
      </c>
      <c r="V28" s="4">
        <v>59475</v>
      </c>
      <c r="W28" s="34">
        <v>59475</v>
      </c>
      <c r="X28" s="4">
        <v>59475</v>
      </c>
      <c r="Y28" s="34">
        <v>59475</v>
      </c>
      <c r="Z28" s="46">
        <v>59475</v>
      </c>
      <c r="AA28" s="151">
        <f t="shared" si="16"/>
        <v>178425</v>
      </c>
      <c r="AB28" s="117">
        <f t="shared" si="16"/>
        <v>178425</v>
      </c>
      <c r="AC28" s="34">
        <v>59475</v>
      </c>
      <c r="AD28" s="4">
        <v>59475</v>
      </c>
      <c r="AE28" s="34">
        <v>59475</v>
      </c>
      <c r="AF28" s="4">
        <v>59475</v>
      </c>
      <c r="AG28" s="34">
        <v>59475</v>
      </c>
      <c r="AH28" s="46">
        <v>59475</v>
      </c>
      <c r="AI28" s="151">
        <f t="shared" si="17"/>
        <v>178425</v>
      </c>
      <c r="AJ28" s="117">
        <f t="shared" si="17"/>
        <v>178425</v>
      </c>
      <c r="AK28" s="151">
        <f t="shared" si="18"/>
        <v>356850</v>
      </c>
      <c r="AL28" s="117">
        <f t="shared" si="18"/>
        <v>356850</v>
      </c>
      <c r="AM28" s="151">
        <f t="shared" si="11"/>
        <v>713700</v>
      </c>
      <c r="AN28" s="117">
        <f t="shared" si="12"/>
        <v>713700</v>
      </c>
    </row>
    <row r="29" spans="1:40" ht="20.25" customHeight="1" x14ac:dyDescent="0.15">
      <c r="A29" s="23"/>
      <c r="B29" s="5" t="s">
        <v>24</v>
      </c>
      <c r="C29" s="34">
        <v>3850</v>
      </c>
      <c r="D29" s="4">
        <v>3850</v>
      </c>
      <c r="E29" s="34">
        <v>3850</v>
      </c>
      <c r="F29" s="4">
        <v>3850</v>
      </c>
      <c r="G29" s="34">
        <v>3850</v>
      </c>
      <c r="H29" s="46">
        <v>3850</v>
      </c>
      <c r="I29" s="151">
        <f t="shared" si="13"/>
        <v>11550</v>
      </c>
      <c r="J29" s="117">
        <f t="shared" si="13"/>
        <v>11550</v>
      </c>
      <c r="K29" s="34">
        <v>3850</v>
      </c>
      <c r="L29" s="4">
        <v>3850</v>
      </c>
      <c r="M29" s="34">
        <v>3850</v>
      </c>
      <c r="N29" s="4">
        <v>3850</v>
      </c>
      <c r="O29" s="34">
        <v>3850</v>
      </c>
      <c r="P29" s="46">
        <v>3850</v>
      </c>
      <c r="Q29" s="151">
        <f t="shared" si="14"/>
        <v>11550</v>
      </c>
      <c r="R29" s="117">
        <f t="shared" si="14"/>
        <v>11550</v>
      </c>
      <c r="S29" s="151">
        <f t="shared" si="15"/>
        <v>23100</v>
      </c>
      <c r="T29" s="117">
        <f t="shared" si="15"/>
        <v>23100</v>
      </c>
      <c r="U29" s="34">
        <v>3850</v>
      </c>
      <c r="V29" s="4">
        <v>3850</v>
      </c>
      <c r="W29" s="34">
        <v>3850</v>
      </c>
      <c r="X29" s="4">
        <v>6416</v>
      </c>
      <c r="Y29" s="34">
        <v>3850</v>
      </c>
      <c r="Z29" s="46">
        <v>6416</v>
      </c>
      <c r="AA29" s="151">
        <f t="shared" si="16"/>
        <v>11550</v>
      </c>
      <c r="AB29" s="117">
        <f t="shared" si="16"/>
        <v>16682</v>
      </c>
      <c r="AC29" s="34">
        <v>3850</v>
      </c>
      <c r="AD29" s="4">
        <v>6416</v>
      </c>
      <c r="AE29" s="34">
        <v>3850</v>
      </c>
      <c r="AF29" s="4">
        <v>6416</v>
      </c>
      <c r="AG29" s="34">
        <v>3850</v>
      </c>
      <c r="AH29" s="46">
        <v>6416</v>
      </c>
      <c r="AI29" s="151">
        <f t="shared" si="17"/>
        <v>11550</v>
      </c>
      <c r="AJ29" s="117">
        <f t="shared" si="17"/>
        <v>19248</v>
      </c>
      <c r="AK29" s="151">
        <f t="shared" si="18"/>
        <v>23100</v>
      </c>
      <c r="AL29" s="117">
        <f t="shared" si="18"/>
        <v>35930</v>
      </c>
      <c r="AM29" s="151">
        <f t="shared" si="11"/>
        <v>46200</v>
      </c>
      <c r="AN29" s="117">
        <f t="shared" si="12"/>
        <v>59030</v>
      </c>
    </row>
    <row r="30" spans="1:40" ht="20.25" customHeight="1" x14ac:dyDescent="0.15">
      <c r="A30" s="23"/>
      <c r="B30" s="5" t="s">
        <v>25</v>
      </c>
      <c r="C30" s="34">
        <v>1924.95</v>
      </c>
      <c r="D30" s="4">
        <v>1924.95</v>
      </c>
      <c r="E30" s="34">
        <v>1924.95</v>
      </c>
      <c r="F30" s="4">
        <v>1924.95</v>
      </c>
      <c r="G30" s="34">
        <v>1924.95</v>
      </c>
      <c r="H30" s="46">
        <v>1924.95</v>
      </c>
      <c r="I30" s="151">
        <f t="shared" si="13"/>
        <v>5774.85</v>
      </c>
      <c r="J30" s="117">
        <f t="shared" si="13"/>
        <v>5774.85</v>
      </c>
      <c r="K30" s="34">
        <v>1924.95</v>
      </c>
      <c r="L30" s="4">
        <v>1924.95</v>
      </c>
      <c r="M30" s="34">
        <v>1924.95</v>
      </c>
      <c r="N30" s="4">
        <v>1924.95</v>
      </c>
      <c r="O30" s="34">
        <v>1924.95</v>
      </c>
      <c r="P30" s="46">
        <v>1924.95</v>
      </c>
      <c r="Q30" s="151">
        <f t="shared" si="14"/>
        <v>5774.85</v>
      </c>
      <c r="R30" s="117">
        <f t="shared" si="14"/>
        <v>5774.85</v>
      </c>
      <c r="S30" s="151">
        <f t="shared" si="15"/>
        <v>11549.7</v>
      </c>
      <c r="T30" s="117">
        <f t="shared" si="15"/>
        <v>11549.7</v>
      </c>
      <c r="U30" s="34">
        <v>1924.95</v>
      </c>
      <c r="V30" s="4">
        <v>1924.95</v>
      </c>
      <c r="W30" s="34">
        <v>1924.95</v>
      </c>
      <c r="X30" s="4">
        <v>1924.95</v>
      </c>
      <c r="Y30" s="34">
        <v>1924.95</v>
      </c>
      <c r="Z30" s="46">
        <v>1924.95</v>
      </c>
      <c r="AA30" s="151">
        <f t="shared" si="16"/>
        <v>5774.85</v>
      </c>
      <c r="AB30" s="117">
        <f t="shared" si="16"/>
        <v>5774.85</v>
      </c>
      <c r="AC30" s="34">
        <v>1924.95</v>
      </c>
      <c r="AD30" s="4">
        <v>1924.95</v>
      </c>
      <c r="AE30" s="34">
        <v>1924.95</v>
      </c>
      <c r="AF30" s="4">
        <v>1924.95</v>
      </c>
      <c r="AG30" s="34">
        <v>1924.95</v>
      </c>
      <c r="AH30" s="46">
        <v>1924.95</v>
      </c>
      <c r="AI30" s="151">
        <f t="shared" si="17"/>
        <v>5774.85</v>
      </c>
      <c r="AJ30" s="117">
        <f t="shared" si="17"/>
        <v>5774.85</v>
      </c>
      <c r="AK30" s="151">
        <f t="shared" si="18"/>
        <v>11549.7</v>
      </c>
      <c r="AL30" s="117">
        <f t="shared" si="18"/>
        <v>11549.7</v>
      </c>
      <c r="AM30" s="151">
        <f t="shared" si="11"/>
        <v>23099.4</v>
      </c>
      <c r="AN30" s="117">
        <f t="shared" si="12"/>
        <v>23099.400000000005</v>
      </c>
    </row>
    <row r="31" spans="1:40" ht="20.25" customHeight="1" thickBot="1" x14ac:dyDescent="0.2">
      <c r="A31" s="23"/>
      <c r="B31" s="6" t="s">
        <v>26</v>
      </c>
      <c r="C31" s="34">
        <v>24650</v>
      </c>
      <c r="D31" s="4">
        <v>24650</v>
      </c>
      <c r="E31" s="34">
        <v>24650</v>
      </c>
      <c r="F31" s="4">
        <v>24650</v>
      </c>
      <c r="G31" s="34">
        <v>24650</v>
      </c>
      <c r="H31" s="46">
        <v>24650</v>
      </c>
      <c r="I31" s="151">
        <f t="shared" si="13"/>
        <v>73950</v>
      </c>
      <c r="J31" s="117">
        <f>D31+F31+H31</f>
        <v>73950</v>
      </c>
      <c r="K31" s="34">
        <v>24650</v>
      </c>
      <c r="L31" s="4">
        <v>24650</v>
      </c>
      <c r="M31" s="34">
        <v>24650</v>
      </c>
      <c r="N31" s="4">
        <v>24650</v>
      </c>
      <c r="O31" s="34">
        <v>24650</v>
      </c>
      <c r="P31" s="46">
        <v>24650</v>
      </c>
      <c r="Q31" s="151">
        <f t="shared" si="14"/>
        <v>73950</v>
      </c>
      <c r="R31" s="117">
        <f>L31+N31+P31</f>
        <v>73950</v>
      </c>
      <c r="S31" s="151">
        <f t="shared" si="15"/>
        <v>147900</v>
      </c>
      <c r="T31" s="117">
        <f t="shared" si="15"/>
        <v>147900</v>
      </c>
      <c r="U31" s="34">
        <v>24650</v>
      </c>
      <c r="V31" s="4">
        <v>24650</v>
      </c>
      <c r="W31" s="34">
        <v>24650</v>
      </c>
      <c r="X31" s="4">
        <v>24650</v>
      </c>
      <c r="Y31" s="34">
        <v>24650</v>
      </c>
      <c r="Z31" s="46">
        <v>24650</v>
      </c>
      <c r="AA31" s="151">
        <f t="shared" si="16"/>
        <v>73950</v>
      </c>
      <c r="AB31" s="117">
        <f>V31+X31+Z31</f>
        <v>73950</v>
      </c>
      <c r="AC31" s="34">
        <v>24650</v>
      </c>
      <c r="AD31" s="4">
        <v>24650</v>
      </c>
      <c r="AE31" s="34">
        <v>24650</v>
      </c>
      <c r="AF31" s="4">
        <v>24650</v>
      </c>
      <c r="AG31" s="34">
        <v>24650</v>
      </c>
      <c r="AH31" s="46">
        <v>24650</v>
      </c>
      <c r="AI31" s="151">
        <f t="shared" si="17"/>
        <v>73950</v>
      </c>
      <c r="AJ31" s="117">
        <f>AD31+AF31+AH31</f>
        <v>73950</v>
      </c>
      <c r="AK31" s="151">
        <f t="shared" si="18"/>
        <v>147900</v>
      </c>
      <c r="AL31" s="117">
        <f t="shared" si="18"/>
        <v>147900</v>
      </c>
      <c r="AM31" s="151">
        <f t="shared" si="11"/>
        <v>295800</v>
      </c>
      <c r="AN31" s="117">
        <f t="shared" si="12"/>
        <v>295800</v>
      </c>
    </row>
    <row r="32" spans="1:40" ht="20.25" customHeight="1" thickTop="1" thickBot="1" x14ac:dyDescent="0.2">
      <c r="A32" s="24"/>
      <c r="B32" s="12" t="s">
        <v>27</v>
      </c>
      <c r="C32" s="39">
        <f>SUM(C23:C31)</f>
        <v>746191.95</v>
      </c>
      <c r="D32" s="13">
        <f t="shared" ref="D32:AM32" si="19">SUM(D23:D31)</f>
        <v>746191.95</v>
      </c>
      <c r="E32" s="39">
        <f>SUM(E23:E31)</f>
        <v>746191.95</v>
      </c>
      <c r="F32" s="13">
        <f t="shared" si="19"/>
        <v>745444.95</v>
      </c>
      <c r="G32" s="39">
        <f t="shared" si="19"/>
        <v>746191.95</v>
      </c>
      <c r="H32" s="51">
        <f t="shared" si="19"/>
        <v>745444.95</v>
      </c>
      <c r="I32" s="39">
        <f t="shared" si="19"/>
        <v>2238575.85</v>
      </c>
      <c r="J32" s="13">
        <f t="shared" si="19"/>
        <v>2237081.85</v>
      </c>
      <c r="K32" s="39">
        <f t="shared" si="19"/>
        <v>746191.95</v>
      </c>
      <c r="L32" s="13">
        <f t="shared" si="19"/>
        <v>745444.95</v>
      </c>
      <c r="M32" s="39">
        <f t="shared" si="19"/>
        <v>746191.95</v>
      </c>
      <c r="N32" s="13">
        <f t="shared" si="19"/>
        <v>745444.95</v>
      </c>
      <c r="O32" s="39">
        <f t="shared" si="19"/>
        <v>746191.95</v>
      </c>
      <c r="P32" s="51">
        <f t="shared" si="19"/>
        <v>745444.95</v>
      </c>
      <c r="Q32" s="39">
        <f t="shared" si="19"/>
        <v>2238575.85</v>
      </c>
      <c r="R32" s="13">
        <f t="shared" si="19"/>
        <v>2236334.85</v>
      </c>
      <c r="S32" s="39">
        <f t="shared" si="19"/>
        <v>4477151.7</v>
      </c>
      <c r="T32" s="13">
        <f t="shared" si="19"/>
        <v>4473416.7</v>
      </c>
      <c r="U32" s="39">
        <f t="shared" si="19"/>
        <v>746191.95</v>
      </c>
      <c r="V32" s="13">
        <f t="shared" si="19"/>
        <v>745444.95</v>
      </c>
      <c r="W32" s="39">
        <f t="shared" si="19"/>
        <v>746191.95</v>
      </c>
      <c r="X32" s="13">
        <f t="shared" si="19"/>
        <v>748010.95</v>
      </c>
      <c r="Y32" s="39">
        <f t="shared" si="19"/>
        <v>746191.95</v>
      </c>
      <c r="Z32" s="51">
        <f t="shared" si="19"/>
        <v>748010.95</v>
      </c>
      <c r="AA32" s="39">
        <f t="shared" si="19"/>
        <v>2238575.85</v>
      </c>
      <c r="AB32" s="13">
        <f t="shared" si="19"/>
        <v>2241466.85</v>
      </c>
      <c r="AC32" s="39">
        <f t="shared" si="19"/>
        <v>746191.95</v>
      </c>
      <c r="AD32" s="13">
        <f t="shared" si="19"/>
        <v>748010.95</v>
      </c>
      <c r="AE32" s="39">
        <f t="shared" si="19"/>
        <v>746191.95</v>
      </c>
      <c r="AF32" s="13">
        <f t="shared" si="19"/>
        <v>1748010.95</v>
      </c>
      <c r="AG32" s="39">
        <f t="shared" si="19"/>
        <v>746191.95</v>
      </c>
      <c r="AH32" s="51">
        <f t="shared" si="19"/>
        <v>1748010.95</v>
      </c>
      <c r="AI32" s="39">
        <f t="shared" si="19"/>
        <v>2238575.85</v>
      </c>
      <c r="AJ32" s="13">
        <f t="shared" si="19"/>
        <v>4244032.8499999996</v>
      </c>
      <c r="AK32" s="39">
        <f t="shared" si="19"/>
        <v>4477151.7</v>
      </c>
      <c r="AL32" s="13">
        <f t="shared" si="19"/>
        <v>6485499.7000000002</v>
      </c>
      <c r="AM32" s="39">
        <f t="shared" si="19"/>
        <v>8954303.4000000004</v>
      </c>
      <c r="AN32" s="13">
        <f t="shared" si="12"/>
        <v>10958916.4</v>
      </c>
    </row>
    <row r="33" spans="1:40" ht="20.25" customHeight="1" x14ac:dyDescent="0.15">
      <c r="A33" s="25" t="s">
        <v>34</v>
      </c>
      <c r="B33" s="3" t="s">
        <v>35</v>
      </c>
      <c r="C33" s="34">
        <v>0</v>
      </c>
      <c r="D33" s="4"/>
      <c r="E33" s="34">
        <v>0</v>
      </c>
      <c r="F33" s="4"/>
      <c r="G33" s="34">
        <v>0</v>
      </c>
      <c r="H33" s="46"/>
      <c r="I33" s="151">
        <f>C33+E33+G33</f>
        <v>0</v>
      </c>
      <c r="J33" s="117">
        <f>D33+F33+H33</f>
        <v>0</v>
      </c>
      <c r="K33" s="34">
        <v>0</v>
      </c>
      <c r="L33" s="4"/>
      <c r="M33" s="34">
        <v>0</v>
      </c>
      <c r="N33" s="4"/>
      <c r="O33" s="34">
        <v>0</v>
      </c>
      <c r="P33" s="46"/>
      <c r="Q33" s="151">
        <f>K33+M33+O33</f>
        <v>0</v>
      </c>
      <c r="R33" s="117">
        <f>L33+N33+P33</f>
        <v>0</v>
      </c>
      <c r="S33" s="151">
        <f t="shared" ref="S33:T57" si="20">I33+Q33</f>
        <v>0</v>
      </c>
      <c r="T33" s="117">
        <f t="shared" si="20"/>
        <v>0</v>
      </c>
      <c r="U33" s="34">
        <v>0</v>
      </c>
      <c r="V33" s="4"/>
      <c r="W33" s="34">
        <v>0</v>
      </c>
      <c r="X33" s="4"/>
      <c r="Y33" s="34">
        <v>0</v>
      </c>
      <c r="Z33" s="46"/>
      <c r="AA33" s="151">
        <f>U33+W33+Y33</f>
        <v>0</v>
      </c>
      <c r="AB33" s="117">
        <f>V33+X33+Z33</f>
        <v>0</v>
      </c>
      <c r="AC33" s="34">
        <v>0</v>
      </c>
      <c r="AD33" s="4"/>
      <c r="AE33" s="34">
        <v>70000</v>
      </c>
      <c r="AF33" s="4"/>
      <c r="AG33" s="34">
        <v>0</v>
      </c>
      <c r="AH33" s="46">
        <v>6518</v>
      </c>
      <c r="AI33" s="151">
        <f>AC33+AE33+AG33</f>
        <v>70000</v>
      </c>
      <c r="AJ33" s="117">
        <f>AD33+AF33+AH33</f>
        <v>6518</v>
      </c>
      <c r="AK33" s="151">
        <f t="shared" ref="AK33:AL57" si="21">AA33+AI33</f>
        <v>70000</v>
      </c>
      <c r="AL33" s="117">
        <f t="shared" si="21"/>
        <v>6518</v>
      </c>
      <c r="AM33" s="151">
        <f t="shared" si="11"/>
        <v>70000</v>
      </c>
      <c r="AN33" s="117">
        <f t="shared" si="12"/>
        <v>6518</v>
      </c>
    </row>
    <row r="34" spans="1:40" ht="20.25" customHeight="1" x14ac:dyDescent="0.15">
      <c r="A34" s="23"/>
      <c r="B34" s="5" t="s">
        <v>36</v>
      </c>
      <c r="C34" s="34">
        <v>2000</v>
      </c>
      <c r="D34" s="4"/>
      <c r="E34" s="34">
        <v>2000</v>
      </c>
      <c r="F34" s="4">
        <v>3774</v>
      </c>
      <c r="G34" s="34">
        <v>2000</v>
      </c>
      <c r="H34" s="46"/>
      <c r="I34" s="151">
        <f t="shared" ref="I34:J57" si="22">C34+E34+G34</f>
        <v>6000</v>
      </c>
      <c r="J34" s="117">
        <f t="shared" si="22"/>
        <v>3774</v>
      </c>
      <c r="K34" s="34">
        <v>2000</v>
      </c>
      <c r="L34" s="4">
        <v>38000</v>
      </c>
      <c r="M34" s="34">
        <v>2000</v>
      </c>
      <c r="N34" s="4">
        <v>1455</v>
      </c>
      <c r="O34" s="34">
        <v>2000</v>
      </c>
      <c r="P34" s="46"/>
      <c r="Q34" s="151">
        <f t="shared" ref="Q34:R57" si="23">K34+M34+O34</f>
        <v>6000</v>
      </c>
      <c r="R34" s="117">
        <f t="shared" si="23"/>
        <v>39455</v>
      </c>
      <c r="S34" s="151">
        <f t="shared" si="20"/>
        <v>12000</v>
      </c>
      <c r="T34" s="117">
        <f t="shared" si="20"/>
        <v>43229</v>
      </c>
      <c r="U34" s="34">
        <v>2000</v>
      </c>
      <c r="V34" s="4">
        <v>12950</v>
      </c>
      <c r="W34" s="34">
        <v>2000</v>
      </c>
      <c r="X34" s="4">
        <v>43700</v>
      </c>
      <c r="Y34" s="34">
        <v>2000</v>
      </c>
      <c r="Z34" s="46">
        <v>6710</v>
      </c>
      <c r="AA34" s="151">
        <f t="shared" ref="AA34:AB57" si="24">U34+W34+Y34</f>
        <v>6000</v>
      </c>
      <c r="AB34" s="117">
        <f t="shared" si="24"/>
        <v>63360</v>
      </c>
      <c r="AC34" s="34">
        <v>2000</v>
      </c>
      <c r="AD34" s="4"/>
      <c r="AE34" s="34">
        <v>2000</v>
      </c>
      <c r="AF34" s="4">
        <v>1891</v>
      </c>
      <c r="AG34" s="34">
        <v>2000</v>
      </c>
      <c r="AH34" s="46">
        <v>12135</v>
      </c>
      <c r="AI34" s="151">
        <f t="shared" ref="AI34:AJ57" si="25">AC34+AE34+AG34</f>
        <v>6000</v>
      </c>
      <c r="AJ34" s="117">
        <f t="shared" si="25"/>
        <v>14026</v>
      </c>
      <c r="AK34" s="151">
        <f t="shared" si="21"/>
        <v>12000</v>
      </c>
      <c r="AL34" s="117">
        <f t="shared" si="21"/>
        <v>77386</v>
      </c>
      <c r="AM34" s="151">
        <f t="shared" si="11"/>
        <v>24000</v>
      </c>
      <c r="AN34" s="117">
        <f t="shared" si="12"/>
        <v>120615</v>
      </c>
    </row>
    <row r="35" spans="1:40" ht="20.25" customHeight="1" x14ac:dyDescent="0.15">
      <c r="A35" s="23"/>
      <c r="B35" s="5" t="s">
        <v>37</v>
      </c>
      <c r="C35" s="34">
        <v>203300</v>
      </c>
      <c r="D35" s="4">
        <v>203209</v>
      </c>
      <c r="E35" s="34">
        <v>203300</v>
      </c>
      <c r="F35" s="4">
        <v>203209</v>
      </c>
      <c r="G35" s="34">
        <v>203300</v>
      </c>
      <c r="H35" s="46">
        <v>203209</v>
      </c>
      <c r="I35" s="151">
        <f t="shared" si="22"/>
        <v>609900</v>
      </c>
      <c r="J35" s="117">
        <f t="shared" si="22"/>
        <v>609627</v>
      </c>
      <c r="K35" s="34">
        <v>203300</v>
      </c>
      <c r="L35" s="4">
        <v>203209</v>
      </c>
      <c r="M35" s="34">
        <v>203300</v>
      </c>
      <c r="N35" s="4">
        <v>203209</v>
      </c>
      <c r="O35" s="34">
        <v>203300</v>
      </c>
      <c r="P35" s="46">
        <v>203209</v>
      </c>
      <c r="Q35" s="151">
        <f t="shared" si="23"/>
        <v>609900</v>
      </c>
      <c r="R35" s="117">
        <f t="shared" si="23"/>
        <v>609627</v>
      </c>
      <c r="S35" s="151">
        <f t="shared" si="20"/>
        <v>1219800</v>
      </c>
      <c r="T35" s="117">
        <f t="shared" si="20"/>
        <v>1219254</v>
      </c>
      <c r="U35" s="34">
        <v>203300</v>
      </c>
      <c r="V35" s="4">
        <v>203209</v>
      </c>
      <c r="W35" s="34">
        <v>203300</v>
      </c>
      <c r="X35" s="4">
        <v>203209</v>
      </c>
      <c r="Y35" s="34">
        <v>203300</v>
      </c>
      <c r="Z35" s="46">
        <v>203209</v>
      </c>
      <c r="AA35" s="151">
        <f t="shared" si="24"/>
        <v>609900</v>
      </c>
      <c r="AB35" s="117">
        <f t="shared" si="24"/>
        <v>609627</v>
      </c>
      <c r="AC35" s="34">
        <v>203300</v>
      </c>
      <c r="AD35" s="4">
        <v>203209</v>
      </c>
      <c r="AE35" s="34">
        <v>203300</v>
      </c>
      <c r="AF35" s="4">
        <v>203209</v>
      </c>
      <c r="AG35" s="34">
        <v>203300</v>
      </c>
      <c r="AH35" s="46">
        <v>203209</v>
      </c>
      <c r="AI35" s="151">
        <f t="shared" si="25"/>
        <v>609900</v>
      </c>
      <c r="AJ35" s="117">
        <f t="shared" si="25"/>
        <v>609627</v>
      </c>
      <c r="AK35" s="151">
        <f t="shared" si="21"/>
        <v>1219800</v>
      </c>
      <c r="AL35" s="117">
        <f t="shared" si="21"/>
        <v>1219254</v>
      </c>
      <c r="AM35" s="151">
        <f t="shared" si="11"/>
        <v>2439600</v>
      </c>
      <c r="AN35" s="117">
        <f t="shared" si="12"/>
        <v>2438508</v>
      </c>
    </row>
    <row r="36" spans="1:40" ht="20.25" customHeight="1" x14ac:dyDescent="0.15">
      <c r="A36" s="23"/>
      <c r="B36" s="5" t="s">
        <v>38</v>
      </c>
      <c r="C36" s="34">
        <v>7500</v>
      </c>
      <c r="D36" s="4">
        <v>7413</v>
      </c>
      <c r="E36" s="34">
        <v>7500</v>
      </c>
      <c r="F36" s="4">
        <v>7413</v>
      </c>
      <c r="G36" s="34">
        <v>7500</v>
      </c>
      <c r="H36" s="46">
        <v>7413</v>
      </c>
      <c r="I36" s="151">
        <f t="shared" si="22"/>
        <v>22500</v>
      </c>
      <c r="J36" s="117">
        <f t="shared" si="22"/>
        <v>22239</v>
      </c>
      <c r="K36" s="34">
        <v>7500</v>
      </c>
      <c r="L36" s="4">
        <v>7413</v>
      </c>
      <c r="M36" s="34">
        <v>7500</v>
      </c>
      <c r="N36" s="4">
        <v>7413</v>
      </c>
      <c r="O36" s="34">
        <v>7500</v>
      </c>
      <c r="P36" s="46">
        <v>7413</v>
      </c>
      <c r="Q36" s="151">
        <f t="shared" si="23"/>
        <v>22500</v>
      </c>
      <c r="R36" s="117">
        <f t="shared" si="23"/>
        <v>22239</v>
      </c>
      <c r="S36" s="151">
        <f t="shared" si="20"/>
        <v>45000</v>
      </c>
      <c r="T36" s="117">
        <f t="shared" si="20"/>
        <v>44478</v>
      </c>
      <c r="U36" s="34">
        <v>7500</v>
      </c>
      <c r="V36" s="4">
        <v>7413</v>
      </c>
      <c r="W36" s="34">
        <v>7500</v>
      </c>
      <c r="X36" s="4">
        <v>7413</v>
      </c>
      <c r="Y36" s="34">
        <v>7500</v>
      </c>
      <c r="Z36" s="46">
        <v>7413</v>
      </c>
      <c r="AA36" s="151">
        <f t="shared" si="24"/>
        <v>22500</v>
      </c>
      <c r="AB36" s="117">
        <f t="shared" si="24"/>
        <v>22239</v>
      </c>
      <c r="AC36" s="34">
        <v>7500</v>
      </c>
      <c r="AD36" s="4">
        <v>7413</v>
      </c>
      <c r="AE36" s="34">
        <v>7500</v>
      </c>
      <c r="AF36" s="4">
        <v>7413</v>
      </c>
      <c r="AG36" s="34">
        <v>7500</v>
      </c>
      <c r="AH36" s="46">
        <v>7413</v>
      </c>
      <c r="AI36" s="151">
        <f t="shared" si="25"/>
        <v>22500</v>
      </c>
      <c r="AJ36" s="117">
        <f t="shared" si="25"/>
        <v>22239</v>
      </c>
      <c r="AK36" s="151">
        <f t="shared" si="21"/>
        <v>45000</v>
      </c>
      <c r="AL36" s="117">
        <f t="shared" si="21"/>
        <v>44478</v>
      </c>
      <c r="AM36" s="151">
        <f t="shared" si="11"/>
        <v>90000</v>
      </c>
      <c r="AN36" s="117">
        <f t="shared" si="12"/>
        <v>88956</v>
      </c>
    </row>
    <row r="37" spans="1:40" ht="20.25" customHeight="1" x14ac:dyDescent="0.15">
      <c r="A37" s="23"/>
      <c r="B37" s="5" t="s">
        <v>39</v>
      </c>
      <c r="C37" s="34">
        <v>0</v>
      </c>
      <c r="D37" s="4">
        <v>21610</v>
      </c>
      <c r="E37" s="34">
        <v>0</v>
      </c>
      <c r="F37" s="4"/>
      <c r="G37" s="34">
        <v>0</v>
      </c>
      <c r="H37" s="46"/>
      <c r="I37" s="151">
        <f t="shared" si="22"/>
        <v>0</v>
      </c>
      <c r="J37" s="117">
        <f t="shared" si="22"/>
        <v>21610</v>
      </c>
      <c r="K37" s="34">
        <v>0</v>
      </c>
      <c r="L37" s="4"/>
      <c r="M37" s="34">
        <v>0</v>
      </c>
      <c r="N37" s="4"/>
      <c r="O37" s="34">
        <v>0</v>
      </c>
      <c r="P37" s="46"/>
      <c r="Q37" s="151">
        <f t="shared" si="23"/>
        <v>0</v>
      </c>
      <c r="R37" s="117">
        <f t="shared" si="23"/>
        <v>0</v>
      </c>
      <c r="S37" s="151">
        <f t="shared" si="20"/>
        <v>0</v>
      </c>
      <c r="T37" s="117">
        <f t="shared" si="20"/>
        <v>21610</v>
      </c>
      <c r="U37" s="34">
        <v>0</v>
      </c>
      <c r="V37" s="4"/>
      <c r="W37" s="34">
        <v>0</v>
      </c>
      <c r="X37" s="4"/>
      <c r="Y37" s="34">
        <v>0</v>
      </c>
      <c r="Z37" s="46"/>
      <c r="AA37" s="151">
        <f t="shared" si="24"/>
        <v>0</v>
      </c>
      <c r="AB37" s="117">
        <f t="shared" si="24"/>
        <v>0</v>
      </c>
      <c r="AC37" s="34">
        <v>0</v>
      </c>
      <c r="AD37" s="4"/>
      <c r="AE37" s="34">
        <v>0</v>
      </c>
      <c r="AF37" s="4"/>
      <c r="AG37" s="34">
        <v>0</v>
      </c>
      <c r="AH37" s="46"/>
      <c r="AI37" s="151">
        <f t="shared" si="25"/>
        <v>0</v>
      </c>
      <c r="AJ37" s="117">
        <f t="shared" si="25"/>
        <v>0</v>
      </c>
      <c r="AK37" s="151">
        <f t="shared" si="21"/>
        <v>0</v>
      </c>
      <c r="AL37" s="117">
        <f t="shared" si="21"/>
        <v>0</v>
      </c>
      <c r="AM37" s="151">
        <f t="shared" si="11"/>
        <v>0</v>
      </c>
      <c r="AN37" s="117">
        <f t="shared" si="12"/>
        <v>21610</v>
      </c>
    </row>
    <row r="38" spans="1:40" ht="20.25" customHeight="1" x14ac:dyDescent="0.15">
      <c r="A38" s="23"/>
      <c r="B38" s="5" t="s">
        <v>40</v>
      </c>
      <c r="C38" s="34">
        <v>0</v>
      </c>
      <c r="D38" s="4"/>
      <c r="E38" s="34">
        <v>0</v>
      </c>
      <c r="F38" s="4"/>
      <c r="G38" s="34">
        <v>0</v>
      </c>
      <c r="H38" s="46"/>
      <c r="I38" s="151">
        <f t="shared" si="22"/>
        <v>0</v>
      </c>
      <c r="J38" s="117">
        <f t="shared" si="22"/>
        <v>0</v>
      </c>
      <c r="K38" s="34">
        <v>0</v>
      </c>
      <c r="L38" s="4"/>
      <c r="M38" s="34">
        <v>0</v>
      </c>
      <c r="N38" s="4"/>
      <c r="O38" s="34">
        <v>0</v>
      </c>
      <c r="P38" s="46"/>
      <c r="Q38" s="151">
        <f t="shared" si="23"/>
        <v>0</v>
      </c>
      <c r="R38" s="117">
        <f t="shared" si="23"/>
        <v>0</v>
      </c>
      <c r="S38" s="151">
        <f t="shared" si="20"/>
        <v>0</v>
      </c>
      <c r="T38" s="117">
        <f t="shared" si="20"/>
        <v>0</v>
      </c>
      <c r="U38" s="34">
        <v>0</v>
      </c>
      <c r="V38" s="4"/>
      <c r="W38" s="34">
        <v>0</v>
      </c>
      <c r="X38" s="4"/>
      <c r="Y38" s="34">
        <v>0</v>
      </c>
      <c r="Z38" s="46"/>
      <c r="AA38" s="151">
        <f t="shared" si="24"/>
        <v>0</v>
      </c>
      <c r="AB38" s="117">
        <f t="shared" si="24"/>
        <v>0</v>
      </c>
      <c r="AC38" s="34">
        <v>0</v>
      </c>
      <c r="AD38" s="4"/>
      <c r="AE38" s="34">
        <v>0</v>
      </c>
      <c r="AF38" s="4"/>
      <c r="AG38" s="34">
        <v>0</v>
      </c>
      <c r="AH38" s="46"/>
      <c r="AI38" s="151">
        <f t="shared" si="25"/>
        <v>0</v>
      </c>
      <c r="AJ38" s="117">
        <f t="shared" si="25"/>
        <v>0</v>
      </c>
      <c r="AK38" s="151">
        <f t="shared" si="21"/>
        <v>0</v>
      </c>
      <c r="AL38" s="117">
        <f t="shared" si="21"/>
        <v>0</v>
      </c>
      <c r="AM38" s="151">
        <f t="shared" si="11"/>
        <v>0</v>
      </c>
      <c r="AN38" s="117">
        <f t="shared" si="12"/>
        <v>0</v>
      </c>
    </row>
    <row r="39" spans="1:40" ht="20.25" customHeight="1" x14ac:dyDescent="0.15">
      <c r="A39" s="23"/>
      <c r="B39" s="5" t="s">
        <v>41</v>
      </c>
      <c r="C39" s="34">
        <v>0</v>
      </c>
      <c r="D39" s="4"/>
      <c r="E39" s="34">
        <v>0</v>
      </c>
      <c r="F39" s="4"/>
      <c r="G39" s="34">
        <v>0</v>
      </c>
      <c r="H39" s="46"/>
      <c r="I39" s="151">
        <f t="shared" si="22"/>
        <v>0</v>
      </c>
      <c r="J39" s="117">
        <f t="shared" si="22"/>
        <v>0</v>
      </c>
      <c r="K39" s="34">
        <v>0</v>
      </c>
      <c r="L39" s="4"/>
      <c r="M39" s="34">
        <v>0</v>
      </c>
      <c r="N39" s="4"/>
      <c r="O39" s="34">
        <v>0</v>
      </c>
      <c r="P39" s="46"/>
      <c r="Q39" s="151">
        <f t="shared" si="23"/>
        <v>0</v>
      </c>
      <c r="R39" s="117">
        <f t="shared" si="23"/>
        <v>0</v>
      </c>
      <c r="S39" s="151">
        <f t="shared" si="20"/>
        <v>0</v>
      </c>
      <c r="T39" s="117">
        <f t="shared" si="20"/>
        <v>0</v>
      </c>
      <c r="U39" s="34">
        <v>0</v>
      </c>
      <c r="V39" s="4"/>
      <c r="W39" s="34">
        <v>0</v>
      </c>
      <c r="X39" s="4"/>
      <c r="Y39" s="34">
        <v>0</v>
      </c>
      <c r="Z39" s="46"/>
      <c r="AA39" s="151">
        <f t="shared" si="24"/>
        <v>0</v>
      </c>
      <c r="AB39" s="117">
        <f t="shared" si="24"/>
        <v>0</v>
      </c>
      <c r="AC39" s="34">
        <v>0</v>
      </c>
      <c r="AD39" s="4"/>
      <c r="AE39" s="34">
        <v>0</v>
      </c>
      <c r="AF39" s="4"/>
      <c r="AG39" s="34">
        <v>0</v>
      </c>
      <c r="AH39" s="46"/>
      <c r="AI39" s="151">
        <f t="shared" si="25"/>
        <v>0</v>
      </c>
      <c r="AJ39" s="117">
        <f t="shared" si="25"/>
        <v>0</v>
      </c>
      <c r="AK39" s="151">
        <f t="shared" si="21"/>
        <v>0</v>
      </c>
      <c r="AL39" s="117">
        <f t="shared" si="21"/>
        <v>0</v>
      </c>
      <c r="AM39" s="151">
        <f t="shared" si="11"/>
        <v>0</v>
      </c>
      <c r="AN39" s="117">
        <f t="shared" si="12"/>
        <v>0</v>
      </c>
    </row>
    <row r="40" spans="1:40" ht="20.25" customHeight="1" x14ac:dyDescent="0.15">
      <c r="A40" s="23"/>
      <c r="B40" s="5" t="s">
        <v>42</v>
      </c>
      <c r="C40" s="34">
        <v>0</v>
      </c>
      <c r="D40" s="4"/>
      <c r="E40" s="34">
        <v>0</v>
      </c>
      <c r="F40" s="4"/>
      <c r="G40" s="34"/>
      <c r="H40" s="46"/>
      <c r="I40" s="151">
        <f t="shared" si="22"/>
        <v>0</v>
      </c>
      <c r="J40" s="117">
        <f t="shared" si="22"/>
        <v>0</v>
      </c>
      <c r="K40" s="34">
        <v>20000</v>
      </c>
      <c r="L40" s="4"/>
      <c r="M40" s="34">
        <v>20000</v>
      </c>
      <c r="N40" s="4">
        <v>34500</v>
      </c>
      <c r="O40" s="34">
        <v>0</v>
      </c>
      <c r="P40" s="46"/>
      <c r="Q40" s="151">
        <f t="shared" si="23"/>
        <v>40000</v>
      </c>
      <c r="R40" s="117">
        <f t="shared" si="23"/>
        <v>34500</v>
      </c>
      <c r="S40" s="151">
        <f t="shared" si="20"/>
        <v>40000</v>
      </c>
      <c r="T40" s="117">
        <f t="shared" si="20"/>
        <v>34500</v>
      </c>
      <c r="U40" s="34">
        <v>0</v>
      </c>
      <c r="V40" s="4"/>
      <c r="W40" s="34">
        <v>0</v>
      </c>
      <c r="X40" s="4"/>
      <c r="Y40" s="34">
        <v>0</v>
      </c>
      <c r="Z40" s="46"/>
      <c r="AA40" s="151">
        <f t="shared" si="24"/>
        <v>0</v>
      </c>
      <c r="AB40" s="117">
        <f t="shared" si="24"/>
        <v>0</v>
      </c>
      <c r="AC40" s="34">
        <v>0</v>
      </c>
      <c r="AD40" s="4"/>
      <c r="AE40" s="34">
        <v>0</v>
      </c>
      <c r="AF40" s="4"/>
      <c r="AG40" s="34">
        <v>0</v>
      </c>
      <c r="AH40" s="46"/>
      <c r="AI40" s="151">
        <f t="shared" si="25"/>
        <v>0</v>
      </c>
      <c r="AJ40" s="117">
        <f t="shared" si="25"/>
        <v>0</v>
      </c>
      <c r="AK40" s="151">
        <f t="shared" si="21"/>
        <v>0</v>
      </c>
      <c r="AL40" s="117">
        <f t="shared" si="21"/>
        <v>0</v>
      </c>
      <c r="AM40" s="151">
        <f t="shared" si="11"/>
        <v>40000</v>
      </c>
      <c r="AN40" s="117">
        <f t="shared" si="12"/>
        <v>34500</v>
      </c>
    </row>
    <row r="41" spans="1:40" ht="20.25" customHeight="1" x14ac:dyDescent="0.15">
      <c r="A41" s="23"/>
      <c r="B41" s="5" t="s">
        <v>43</v>
      </c>
      <c r="C41" s="34">
        <v>1000</v>
      </c>
      <c r="D41" s="4"/>
      <c r="E41" s="34">
        <v>1000</v>
      </c>
      <c r="F41" s="4"/>
      <c r="G41" s="34">
        <v>1000</v>
      </c>
      <c r="H41" s="46"/>
      <c r="I41" s="151">
        <f t="shared" si="22"/>
        <v>3000</v>
      </c>
      <c r="J41" s="117">
        <f t="shared" si="22"/>
        <v>0</v>
      </c>
      <c r="K41" s="34">
        <v>1000</v>
      </c>
      <c r="L41" s="4"/>
      <c r="M41" s="34">
        <v>1000</v>
      </c>
      <c r="N41" s="4"/>
      <c r="O41" s="34">
        <v>1000</v>
      </c>
      <c r="P41" s="46"/>
      <c r="Q41" s="151">
        <f t="shared" si="23"/>
        <v>3000</v>
      </c>
      <c r="R41" s="117">
        <f t="shared" si="23"/>
        <v>0</v>
      </c>
      <c r="S41" s="151">
        <f t="shared" si="20"/>
        <v>6000</v>
      </c>
      <c r="T41" s="117">
        <f t="shared" si="20"/>
        <v>0</v>
      </c>
      <c r="U41" s="34">
        <v>1000</v>
      </c>
      <c r="V41" s="4"/>
      <c r="W41" s="34">
        <v>1000</v>
      </c>
      <c r="X41" s="4"/>
      <c r="Y41" s="34">
        <v>1000</v>
      </c>
      <c r="Z41" s="46"/>
      <c r="AA41" s="151">
        <f t="shared" si="24"/>
        <v>3000</v>
      </c>
      <c r="AB41" s="117">
        <f t="shared" si="24"/>
        <v>0</v>
      </c>
      <c r="AC41" s="34">
        <v>1000</v>
      </c>
      <c r="AD41" s="4"/>
      <c r="AE41" s="34">
        <v>1000</v>
      </c>
      <c r="AF41" s="4">
        <v>23828</v>
      </c>
      <c r="AG41" s="34">
        <v>1000</v>
      </c>
      <c r="AH41" s="46"/>
      <c r="AI41" s="151">
        <f t="shared" si="25"/>
        <v>3000</v>
      </c>
      <c r="AJ41" s="117">
        <f t="shared" si="25"/>
        <v>23828</v>
      </c>
      <c r="AK41" s="151">
        <f t="shared" si="21"/>
        <v>6000</v>
      </c>
      <c r="AL41" s="117">
        <f t="shared" si="21"/>
        <v>23828</v>
      </c>
      <c r="AM41" s="151">
        <f t="shared" si="11"/>
        <v>12000</v>
      </c>
      <c r="AN41" s="117">
        <f t="shared" si="12"/>
        <v>23828</v>
      </c>
    </row>
    <row r="42" spans="1:40" ht="20.25" customHeight="1" x14ac:dyDescent="0.15">
      <c r="A42" s="23"/>
      <c r="B42" s="5" t="s">
        <v>44</v>
      </c>
      <c r="C42" s="34">
        <v>0</v>
      </c>
      <c r="D42" s="4"/>
      <c r="E42" s="34">
        <v>0</v>
      </c>
      <c r="F42" s="4"/>
      <c r="G42" s="34">
        <v>0</v>
      </c>
      <c r="H42" s="46"/>
      <c r="I42" s="151">
        <f t="shared" si="22"/>
        <v>0</v>
      </c>
      <c r="J42" s="117">
        <f t="shared" si="22"/>
        <v>0</v>
      </c>
      <c r="K42" s="34">
        <v>0</v>
      </c>
      <c r="L42" s="4"/>
      <c r="M42" s="34">
        <v>0</v>
      </c>
      <c r="N42" s="4"/>
      <c r="O42" s="34">
        <v>0</v>
      </c>
      <c r="P42" s="46"/>
      <c r="Q42" s="151">
        <f t="shared" si="23"/>
        <v>0</v>
      </c>
      <c r="R42" s="117">
        <f t="shared" si="23"/>
        <v>0</v>
      </c>
      <c r="S42" s="151">
        <f t="shared" si="20"/>
        <v>0</v>
      </c>
      <c r="T42" s="117">
        <f t="shared" si="20"/>
        <v>0</v>
      </c>
      <c r="U42" s="34">
        <v>0</v>
      </c>
      <c r="V42" s="4"/>
      <c r="W42" s="34">
        <v>0</v>
      </c>
      <c r="X42" s="4"/>
      <c r="Y42" s="34">
        <v>0</v>
      </c>
      <c r="Z42" s="46"/>
      <c r="AA42" s="151">
        <f t="shared" si="24"/>
        <v>0</v>
      </c>
      <c r="AB42" s="117">
        <f t="shared" si="24"/>
        <v>0</v>
      </c>
      <c r="AC42" s="34">
        <v>0</v>
      </c>
      <c r="AD42" s="4"/>
      <c r="AE42" s="34">
        <v>0</v>
      </c>
      <c r="AF42" s="4"/>
      <c r="AG42" s="34">
        <v>0</v>
      </c>
      <c r="AH42" s="46"/>
      <c r="AI42" s="151">
        <f t="shared" si="25"/>
        <v>0</v>
      </c>
      <c r="AJ42" s="117">
        <f t="shared" si="25"/>
        <v>0</v>
      </c>
      <c r="AK42" s="151">
        <f t="shared" si="21"/>
        <v>0</v>
      </c>
      <c r="AL42" s="117">
        <f t="shared" si="21"/>
        <v>0</v>
      </c>
      <c r="AM42" s="151">
        <f t="shared" si="11"/>
        <v>0</v>
      </c>
      <c r="AN42" s="117">
        <f t="shared" si="12"/>
        <v>0</v>
      </c>
    </row>
    <row r="43" spans="1:40" ht="20.25" customHeight="1" x14ac:dyDescent="0.15">
      <c r="A43" s="23"/>
      <c r="B43" s="5" t="s">
        <v>45</v>
      </c>
      <c r="C43" s="34">
        <v>0</v>
      </c>
      <c r="D43" s="4"/>
      <c r="E43" s="34">
        <v>0</v>
      </c>
      <c r="F43" s="4"/>
      <c r="G43" s="34">
        <v>0</v>
      </c>
      <c r="H43" s="46">
        <v>6791</v>
      </c>
      <c r="I43" s="151">
        <f t="shared" si="22"/>
        <v>0</v>
      </c>
      <c r="J43" s="117">
        <f t="shared" si="22"/>
        <v>6791</v>
      </c>
      <c r="K43" s="34">
        <v>0</v>
      </c>
      <c r="L43" s="4">
        <v>27160</v>
      </c>
      <c r="M43" s="34">
        <v>0</v>
      </c>
      <c r="N43" s="4"/>
      <c r="O43" s="34">
        <v>0</v>
      </c>
      <c r="P43" s="46">
        <v>896</v>
      </c>
      <c r="Q43" s="151">
        <f t="shared" si="23"/>
        <v>0</v>
      </c>
      <c r="R43" s="117">
        <f t="shared" si="23"/>
        <v>28056</v>
      </c>
      <c r="S43" s="151">
        <f t="shared" si="20"/>
        <v>0</v>
      </c>
      <c r="T43" s="117">
        <f t="shared" si="20"/>
        <v>34847</v>
      </c>
      <c r="U43" s="34">
        <v>0</v>
      </c>
      <c r="V43" s="4">
        <v>5000</v>
      </c>
      <c r="W43" s="34">
        <v>0</v>
      </c>
      <c r="X43" s="4"/>
      <c r="Y43" s="34">
        <v>0</v>
      </c>
      <c r="Z43" s="46"/>
      <c r="AA43" s="151">
        <f t="shared" si="24"/>
        <v>0</v>
      </c>
      <c r="AB43" s="117">
        <f t="shared" si="24"/>
        <v>5000</v>
      </c>
      <c r="AC43" s="34">
        <v>0</v>
      </c>
      <c r="AD43" s="4">
        <v>2222</v>
      </c>
      <c r="AE43" s="34">
        <v>0</v>
      </c>
      <c r="AF43" s="4"/>
      <c r="AG43" s="34">
        <v>0</v>
      </c>
      <c r="AH43" s="46">
        <v>4964</v>
      </c>
      <c r="AI43" s="151">
        <f t="shared" si="25"/>
        <v>0</v>
      </c>
      <c r="AJ43" s="117">
        <f t="shared" si="25"/>
        <v>7186</v>
      </c>
      <c r="AK43" s="151">
        <f t="shared" si="21"/>
        <v>0</v>
      </c>
      <c r="AL43" s="117">
        <f t="shared" si="21"/>
        <v>12186</v>
      </c>
      <c r="AM43" s="151">
        <f t="shared" si="11"/>
        <v>0</v>
      </c>
      <c r="AN43" s="117">
        <f t="shared" si="12"/>
        <v>47033</v>
      </c>
    </row>
    <row r="44" spans="1:40" ht="20.25" customHeight="1" x14ac:dyDescent="0.15">
      <c r="A44" s="23"/>
      <c r="B44" s="5" t="s">
        <v>46</v>
      </c>
      <c r="C44" s="34">
        <v>22000</v>
      </c>
      <c r="D44" s="4">
        <v>20282</v>
      </c>
      <c r="E44" s="34">
        <v>22000</v>
      </c>
      <c r="F44" s="4">
        <v>26777</v>
      </c>
      <c r="G44" s="34">
        <v>22000</v>
      </c>
      <c r="H44" s="46">
        <v>23926</v>
      </c>
      <c r="I44" s="151">
        <f t="shared" si="22"/>
        <v>66000</v>
      </c>
      <c r="J44" s="117">
        <f t="shared" si="22"/>
        <v>70985</v>
      </c>
      <c r="K44" s="34">
        <v>22000</v>
      </c>
      <c r="L44" s="4">
        <v>28101</v>
      </c>
      <c r="M44" s="34">
        <v>22000</v>
      </c>
      <c r="N44" s="4">
        <v>27075</v>
      </c>
      <c r="O44" s="34">
        <v>22000</v>
      </c>
      <c r="P44" s="46">
        <v>22787</v>
      </c>
      <c r="Q44" s="151">
        <f t="shared" si="23"/>
        <v>66000</v>
      </c>
      <c r="R44" s="117">
        <f t="shared" si="23"/>
        <v>77963</v>
      </c>
      <c r="S44" s="151">
        <f t="shared" si="20"/>
        <v>132000</v>
      </c>
      <c r="T44" s="117">
        <f t="shared" si="20"/>
        <v>148948</v>
      </c>
      <c r="U44" s="34">
        <v>22000</v>
      </c>
      <c r="V44" s="4">
        <v>22580</v>
      </c>
      <c r="W44" s="34">
        <v>22000</v>
      </c>
      <c r="X44" s="4">
        <v>23516</v>
      </c>
      <c r="Y44" s="34">
        <v>22000</v>
      </c>
      <c r="Z44" s="46">
        <v>20422</v>
      </c>
      <c r="AA44" s="151">
        <f t="shared" si="24"/>
        <v>66000</v>
      </c>
      <c r="AB44" s="117">
        <f t="shared" si="24"/>
        <v>66518</v>
      </c>
      <c r="AC44" s="34">
        <v>22000</v>
      </c>
      <c r="AD44" s="4">
        <v>19230</v>
      </c>
      <c r="AE44" s="34">
        <v>22000</v>
      </c>
      <c r="AF44" s="4">
        <v>16199</v>
      </c>
      <c r="AG44" s="34">
        <v>22000</v>
      </c>
      <c r="AH44" s="46">
        <v>19239</v>
      </c>
      <c r="AI44" s="151">
        <f t="shared" si="25"/>
        <v>66000</v>
      </c>
      <c r="AJ44" s="117">
        <f t="shared" si="25"/>
        <v>54668</v>
      </c>
      <c r="AK44" s="151">
        <f t="shared" si="21"/>
        <v>132000</v>
      </c>
      <c r="AL44" s="117">
        <f t="shared" si="21"/>
        <v>121186</v>
      </c>
      <c r="AM44" s="151">
        <f t="shared" si="11"/>
        <v>264000</v>
      </c>
      <c r="AN44" s="117">
        <f t="shared" si="12"/>
        <v>270134</v>
      </c>
    </row>
    <row r="45" spans="1:40" ht="20.25" customHeight="1" x14ac:dyDescent="0.15">
      <c r="A45" s="23"/>
      <c r="B45" s="5" t="s">
        <v>47</v>
      </c>
      <c r="C45" s="34">
        <v>0</v>
      </c>
      <c r="D45" s="4"/>
      <c r="E45" s="34">
        <v>0</v>
      </c>
      <c r="F45" s="4"/>
      <c r="G45" s="34">
        <v>0</v>
      </c>
      <c r="H45" s="46"/>
      <c r="I45" s="151">
        <f t="shared" si="22"/>
        <v>0</v>
      </c>
      <c r="J45" s="117">
        <f t="shared" si="22"/>
        <v>0</v>
      </c>
      <c r="K45" s="34">
        <v>0</v>
      </c>
      <c r="L45" s="4"/>
      <c r="M45" s="34">
        <v>0</v>
      </c>
      <c r="N45" s="4"/>
      <c r="O45" s="34">
        <v>0</v>
      </c>
      <c r="P45" s="46"/>
      <c r="Q45" s="151">
        <f t="shared" si="23"/>
        <v>0</v>
      </c>
      <c r="R45" s="117">
        <f t="shared" si="23"/>
        <v>0</v>
      </c>
      <c r="S45" s="151">
        <f t="shared" si="20"/>
        <v>0</v>
      </c>
      <c r="T45" s="117">
        <f t="shared" si="20"/>
        <v>0</v>
      </c>
      <c r="U45" s="34">
        <v>0</v>
      </c>
      <c r="V45" s="4"/>
      <c r="W45" s="34">
        <v>0</v>
      </c>
      <c r="X45" s="4"/>
      <c r="Y45" s="34">
        <v>0</v>
      </c>
      <c r="Z45" s="46"/>
      <c r="AA45" s="151">
        <f t="shared" si="24"/>
        <v>0</v>
      </c>
      <c r="AB45" s="117">
        <f t="shared" si="24"/>
        <v>0</v>
      </c>
      <c r="AC45" s="34">
        <v>0</v>
      </c>
      <c r="AD45" s="4"/>
      <c r="AE45" s="34">
        <v>0</v>
      </c>
      <c r="AF45" s="4"/>
      <c r="AG45" s="34">
        <v>0</v>
      </c>
      <c r="AH45" s="46"/>
      <c r="AI45" s="151">
        <f t="shared" si="25"/>
        <v>0</v>
      </c>
      <c r="AJ45" s="117">
        <f t="shared" si="25"/>
        <v>0</v>
      </c>
      <c r="AK45" s="151">
        <f t="shared" si="21"/>
        <v>0</v>
      </c>
      <c r="AL45" s="117">
        <f t="shared" si="21"/>
        <v>0</v>
      </c>
      <c r="AM45" s="151">
        <f t="shared" si="11"/>
        <v>0</v>
      </c>
      <c r="AN45" s="117">
        <f t="shared" si="12"/>
        <v>0</v>
      </c>
    </row>
    <row r="46" spans="1:40" ht="20.25" customHeight="1" x14ac:dyDescent="0.15">
      <c r="A46" s="23"/>
      <c r="B46" s="5" t="s">
        <v>48</v>
      </c>
      <c r="C46" s="34">
        <v>0</v>
      </c>
      <c r="D46" s="4"/>
      <c r="E46" s="34">
        <v>0</v>
      </c>
      <c r="F46" s="4"/>
      <c r="G46" s="34">
        <v>0</v>
      </c>
      <c r="H46" s="46"/>
      <c r="I46" s="151">
        <f t="shared" si="22"/>
        <v>0</v>
      </c>
      <c r="J46" s="117">
        <f t="shared" si="22"/>
        <v>0</v>
      </c>
      <c r="K46" s="34">
        <v>0</v>
      </c>
      <c r="L46" s="4"/>
      <c r="M46" s="34">
        <v>0</v>
      </c>
      <c r="N46" s="4"/>
      <c r="O46" s="34">
        <v>0</v>
      </c>
      <c r="P46" s="46"/>
      <c r="Q46" s="151">
        <f t="shared" si="23"/>
        <v>0</v>
      </c>
      <c r="R46" s="117">
        <f t="shared" si="23"/>
        <v>0</v>
      </c>
      <c r="S46" s="151">
        <f t="shared" si="20"/>
        <v>0</v>
      </c>
      <c r="T46" s="117">
        <f t="shared" si="20"/>
        <v>0</v>
      </c>
      <c r="U46" s="34">
        <v>0</v>
      </c>
      <c r="V46" s="4"/>
      <c r="W46" s="34">
        <v>0</v>
      </c>
      <c r="X46" s="4"/>
      <c r="Y46" s="34">
        <v>0</v>
      </c>
      <c r="Z46" s="46"/>
      <c r="AA46" s="151">
        <f t="shared" si="24"/>
        <v>0</v>
      </c>
      <c r="AB46" s="117">
        <f t="shared" si="24"/>
        <v>0</v>
      </c>
      <c r="AC46" s="34">
        <v>0</v>
      </c>
      <c r="AD46" s="4"/>
      <c r="AE46" s="34">
        <v>0</v>
      </c>
      <c r="AF46" s="4"/>
      <c r="AG46" s="34">
        <v>0</v>
      </c>
      <c r="AH46" s="46">
        <v>137717</v>
      </c>
      <c r="AI46" s="151">
        <f t="shared" si="25"/>
        <v>0</v>
      </c>
      <c r="AJ46" s="117">
        <f t="shared" si="25"/>
        <v>137717</v>
      </c>
      <c r="AK46" s="151">
        <f t="shared" si="21"/>
        <v>0</v>
      </c>
      <c r="AL46" s="117">
        <f t="shared" si="21"/>
        <v>137717</v>
      </c>
      <c r="AM46" s="151">
        <f t="shared" si="11"/>
        <v>0</v>
      </c>
      <c r="AN46" s="117">
        <f t="shared" si="12"/>
        <v>137717</v>
      </c>
    </row>
    <row r="47" spans="1:40" ht="20.25" customHeight="1" x14ac:dyDescent="0.15">
      <c r="A47" s="23"/>
      <c r="B47" s="5" t="s">
        <v>49</v>
      </c>
      <c r="C47" s="34">
        <v>0</v>
      </c>
      <c r="D47" s="4"/>
      <c r="E47" s="34">
        <v>0</v>
      </c>
      <c r="F47" s="4"/>
      <c r="G47" s="34">
        <v>0</v>
      </c>
      <c r="H47" s="46"/>
      <c r="I47" s="151">
        <f t="shared" si="22"/>
        <v>0</v>
      </c>
      <c r="J47" s="117">
        <f t="shared" si="22"/>
        <v>0</v>
      </c>
      <c r="K47" s="34">
        <v>0</v>
      </c>
      <c r="L47" s="4"/>
      <c r="M47" s="34">
        <v>0</v>
      </c>
      <c r="N47" s="4"/>
      <c r="O47" s="34">
        <v>0</v>
      </c>
      <c r="P47" s="46"/>
      <c r="Q47" s="151">
        <f t="shared" si="23"/>
        <v>0</v>
      </c>
      <c r="R47" s="117">
        <f t="shared" si="23"/>
        <v>0</v>
      </c>
      <c r="S47" s="151">
        <f t="shared" si="20"/>
        <v>0</v>
      </c>
      <c r="T47" s="117">
        <f t="shared" si="20"/>
        <v>0</v>
      </c>
      <c r="U47" s="34">
        <v>0</v>
      </c>
      <c r="V47" s="4"/>
      <c r="W47" s="34">
        <v>0</v>
      </c>
      <c r="X47" s="4"/>
      <c r="Y47" s="34">
        <v>0</v>
      </c>
      <c r="Z47" s="46"/>
      <c r="AA47" s="151">
        <f t="shared" si="24"/>
        <v>0</v>
      </c>
      <c r="AB47" s="117">
        <f t="shared" si="24"/>
        <v>0</v>
      </c>
      <c r="AC47" s="34">
        <v>0</v>
      </c>
      <c r="AD47" s="4"/>
      <c r="AE47" s="34">
        <v>0</v>
      </c>
      <c r="AF47" s="4"/>
      <c r="AG47" s="34">
        <v>0</v>
      </c>
      <c r="AH47" s="46"/>
      <c r="AI47" s="151">
        <f t="shared" si="25"/>
        <v>0</v>
      </c>
      <c r="AJ47" s="117">
        <f t="shared" si="25"/>
        <v>0</v>
      </c>
      <c r="AK47" s="151">
        <f t="shared" si="21"/>
        <v>0</v>
      </c>
      <c r="AL47" s="117">
        <f t="shared" si="21"/>
        <v>0</v>
      </c>
      <c r="AM47" s="151">
        <f t="shared" si="11"/>
        <v>0</v>
      </c>
      <c r="AN47" s="117">
        <f t="shared" si="12"/>
        <v>0</v>
      </c>
    </row>
    <row r="48" spans="1:40" ht="20.25" customHeight="1" x14ac:dyDescent="0.15">
      <c r="A48" s="23"/>
      <c r="B48" s="5" t="s">
        <v>50</v>
      </c>
      <c r="C48" s="34">
        <v>2000</v>
      </c>
      <c r="D48" s="4">
        <v>2940</v>
      </c>
      <c r="E48" s="34">
        <v>2000</v>
      </c>
      <c r="F48" s="4">
        <v>1500</v>
      </c>
      <c r="G48" s="34">
        <v>2000</v>
      </c>
      <c r="H48" s="46">
        <v>1555</v>
      </c>
      <c r="I48" s="151">
        <f t="shared" si="22"/>
        <v>6000</v>
      </c>
      <c r="J48" s="117">
        <f t="shared" si="22"/>
        <v>5995</v>
      </c>
      <c r="K48" s="34">
        <v>2000</v>
      </c>
      <c r="L48" s="4">
        <v>940</v>
      </c>
      <c r="M48" s="34">
        <v>2000</v>
      </c>
      <c r="N48" s="4">
        <v>1555</v>
      </c>
      <c r="O48" s="34">
        <v>2000</v>
      </c>
      <c r="P48" s="46">
        <v>3564</v>
      </c>
      <c r="Q48" s="151">
        <f t="shared" si="23"/>
        <v>6000</v>
      </c>
      <c r="R48" s="117">
        <f t="shared" si="23"/>
        <v>6059</v>
      </c>
      <c r="S48" s="151">
        <f t="shared" si="20"/>
        <v>12000</v>
      </c>
      <c r="T48" s="117">
        <f t="shared" si="20"/>
        <v>12054</v>
      </c>
      <c r="U48" s="34">
        <v>2000</v>
      </c>
      <c r="V48" s="4">
        <v>2510</v>
      </c>
      <c r="W48" s="34">
        <v>2000</v>
      </c>
      <c r="X48" s="4">
        <v>940</v>
      </c>
      <c r="Y48" s="34">
        <v>2000</v>
      </c>
      <c r="Z48" s="46"/>
      <c r="AA48" s="151">
        <f t="shared" si="24"/>
        <v>6000</v>
      </c>
      <c r="AB48" s="117">
        <f t="shared" si="24"/>
        <v>3450</v>
      </c>
      <c r="AC48" s="34">
        <v>2000</v>
      </c>
      <c r="AD48" s="4">
        <v>3419</v>
      </c>
      <c r="AE48" s="34">
        <v>2000</v>
      </c>
      <c r="AF48" s="4">
        <v>1373</v>
      </c>
      <c r="AG48" s="34">
        <v>2000</v>
      </c>
      <c r="AH48" s="46">
        <v>1591</v>
      </c>
      <c r="AI48" s="151">
        <f t="shared" si="25"/>
        <v>6000</v>
      </c>
      <c r="AJ48" s="117">
        <f t="shared" si="25"/>
        <v>6383</v>
      </c>
      <c r="AK48" s="151">
        <f t="shared" si="21"/>
        <v>12000</v>
      </c>
      <c r="AL48" s="117">
        <f t="shared" si="21"/>
        <v>9833</v>
      </c>
      <c r="AM48" s="151">
        <f t="shared" si="11"/>
        <v>24000</v>
      </c>
      <c r="AN48" s="117">
        <f t="shared" si="12"/>
        <v>21887</v>
      </c>
    </row>
    <row r="49" spans="1:40" ht="20.25" customHeight="1" x14ac:dyDescent="0.15">
      <c r="A49" s="23"/>
      <c r="B49" s="5" t="s">
        <v>51</v>
      </c>
      <c r="C49" s="34">
        <v>90000</v>
      </c>
      <c r="D49" s="4">
        <v>9840</v>
      </c>
      <c r="E49" s="34">
        <v>0</v>
      </c>
      <c r="F49" s="4">
        <v>6000</v>
      </c>
      <c r="G49" s="34">
        <v>0</v>
      </c>
      <c r="H49" s="46">
        <v>177000</v>
      </c>
      <c r="I49" s="151">
        <f t="shared" si="22"/>
        <v>90000</v>
      </c>
      <c r="J49" s="117">
        <f t="shared" si="22"/>
        <v>192840</v>
      </c>
      <c r="K49" s="34">
        <v>90000</v>
      </c>
      <c r="L49" s="4">
        <v>6000</v>
      </c>
      <c r="M49" s="34">
        <v>0</v>
      </c>
      <c r="N49" s="4">
        <v>6000</v>
      </c>
      <c r="O49" s="34">
        <v>0</v>
      </c>
      <c r="P49" s="46">
        <v>6000</v>
      </c>
      <c r="Q49" s="151">
        <f t="shared" si="23"/>
        <v>90000</v>
      </c>
      <c r="R49" s="117">
        <f t="shared" si="23"/>
        <v>18000</v>
      </c>
      <c r="S49" s="151">
        <f t="shared" si="20"/>
        <v>180000</v>
      </c>
      <c r="T49" s="117">
        <f t="shared" si="20"/>
        <v>210840</v>
      </c>
      <c r="U49" s="34">
        <v>0</v>
      </c>
      <c r="V49" s="4">
        <v>6000</v>
      </c>
      <c r="W49" s="34">
        <v>0</v>
      </c>
      <c r="X49" s="4">
        <v>6000</v>
      </c>
      <c r="Y49" s="34">
        <v>90000</v>
      </c>
      <c r="Z49" s="46">
        <v>6000</v>
      </c>
      <c r="AA49" s="151">
        <f t="shared" si="24"/>
        <v>90000</v>
      </c>
      <c r="AB49" s="117">
        <f t="shared" si="24"/>
        <v>18000</v>
      </c>
      <c r="AC49" s="34">
        <v>0</v>
      </c>
      <c r="AD49" s="4">
        <v>6000</v>
      </c>
      <c r="AE49" s="34">
        <v>0</v>
      </c>
      <c r="AF49" s="4">
        <v>334500</v>
      </c>
      <c r="AG49" s="34">
        <v>0</v>
      </c>
      <c r="AH49" s="46">
        <v>6000</v>
      </c>
      <c r="AI49" s="151">
        <f t="shared" si="25"/>
        <v>0</v>
      </c>
      <c r="AJ49" s="117">
        <f t="shared" si="25"/>
        <v>346500</v>
      </c>
      <c r="AK49" s="151">
        <f t="shared" si="21"/>
        <v>90000</v>
      </c>
      <c r="AL49" s="117">
        <f t="shared" si="21"/>
        <v>364500</v>
      </c>
      <c r="AM49" s="151">
        <f t="shared" si="11"/>
        <v>270000</v>
      </c>
      <c r="AN49" s="117">
        <f t="shared" si="12"/>
        <v>575340</v>
      </c>
    </row>
    <row r="50" spans="1:40" ht="20.25" customHeight="1" x14ac:dyDescent="0.15">
      <c r="A50" s="23"/>
      <c r="B50" s="5" t="s">
        <v>206</v>
      </c>
      <c r="C50" s="34">
        <v>0</v>
      </c>
      <c r="D50" s="4"/>
      <c r="E50" s="34">
        <v>0</v>
      </c>
      <c r="F50" s="4"/>
      <c r="G50" s="34">
        <v>0</v>
      </c>
      <c r="H50" s="46"/>
      <c r="I50" s="151">
        <f t="shared" si="22"/>
        <v>0</v>
      </c>
      <c r="J50" s="117">
        <f t="shared" si="22"/>
        <v>0</v>
      </c>
      <c r="K50" s="34">
        <v>0</v>
      </c>
      <c r="L50" s="4"/>
      <c r="M50" s="34">
        <v>25000</v>
      </c>
      <c r="N50" s="4"/>
      <c r="O50" s="34">
        <v>0</v>
      </c>
      <c r="P50" s="46"/>
      <c r="Q50" s="151">
        <f t="shared" si="23"/>
        <v>25000</v>
      </c>
      <c r="R50" s="117">
        <f t="shared" si="23"/>
        <v>0</v>
      </c>
      <c r="S50" s="151">
        <f t="shared" si="20"/>
        <v>25000</v>
      </c>
      <c r="T50" s="117">
        <f t="shared" si="20"/>
        <v>0</v>
      </c>
      <c r="U50" s="34">
        <v>0</v>
      </c>
      <c r="V50" s="4"/>
      <c r="W50" s="34">
        <v>0</v>
      </c>
      <c r="X50" s="4"/>
      <c r="Y50" s="34">
        <v>0</v>
      </c>
      <c r="Z50" s="46"/>
      <c r="AA50" s="151">
        <f t="shared" si="24"/>
        <v>0</v>
      </c>
      <c r="AB50" s="117">
        <f t="shared" si="24"/>
        <v>0</v>
      </c>
      <c r="AC50" s="34">
        <v>0</v>
      </c>
      <c r="AD50" s="4"/>
      <c r="AE50" s="34">
        <v>25000</v>
      </c>
      <c r="AF50" s="4">
        <v>16450</v>
      </c>
      <c r="AG50" s="34">
        <v>0</v>
      </c>
      <c r="AH50" s="46"/>
      <c r="AI50" s="151">
        <f t="shared" si="25"/>
        <v>25000</v>
      </c>
      <c r="AJ50" s="117">
        <f t="shared" si="25"/>
        <v>16450</v>
      </c>
      <c r="AK50" s="151">
        <f t="shared" si="21"/>
        <v>25000</v>
      </c>
      <c r="AL50" s="117">
        <f t="shared" si="21"/>
        <v>16450</v>
      </c>
      <c r="AM50" s="151">
        <f t="shared" si="11"/>
        <v>50000</v>
      </c>
      <c r="AN50" s="117">
        <f t="shared" si="12"/>
        <v>16450</v>
      </c>
    </row>
    <row r="51" spans="1:40" ht="20.25" customHeight="1" x14ac:dyDescent="0.15">
      <c r="A51" s="23"/>
      <c r="B51" s="5" t="s">
        <v>191</v>
      </c>
      <c r="C51" s="34">
        <v>0</v>
      </c>
      <c r="D51" s="4"/>
      <c r="E51" s="34">
        <v>0</v>
      </c>
      <c r="F51" s="4"/>
      <c r="G51" s="34">
        <v>0</v>
      </c>
      <c r="H51" s="46"/>
      <c r="I51" s="151">
        <f t="shared" si="22"/>
        <v>0</v>
      </c>
      <c r="J51" s="117">
        <f t="shared" si="22"/>
        <v>0</v>
      </c>
      <c r="K51" s="34">
        <v>0</v>
      </c>
      <c r="L51" s="4"/>
      <c r="M51" s="34">
        <v>0</v>
      </c>
      <c r="N51" s="4"/>
      <c r="O51" s="34">
        <v>0</v>
      </c>
      <c r="P51" s="46"/>
      <c r="Q51" s="151">
        <f t="shared" si="23"/>
        <v>0</v>
      </c>
      <c r="R51" s="117">
        <f t="shared" si="23"/>
        <v>0</v>
      </c>
      <c r="S51" s="151">
        <f t="shared" si="20"/>
        <v>0</v>
      </c>
      <c r="T51" s="117">
        <f t="shared" si="20"/>
        <v>0</v>
      </c>
      <c r="U51" s="34">
        <v>0</v>
      </c>
      <c r="V51" s="4"/>
      <c r="W51" s="34">
        <v>0</v>
      </c>
      <c r="X51" s="4"/>
      <c r="Y51" s="34">
        <v>0</v>
      </c>
      <c r="Z51" s="46"/>
      <c r="AA51" s="151">
        <f t="shared" si="24"/>
        <v>0</v>
      </c>
      <c r="AB51" s="117">
        <f t="shared" si="24"/>
        <v>0</v>
      </c>
      <c r="AC51" s="34">
        <v>0</v>
      </c>
      <c r="AD51" s="4"/>
      <c r="AE51" s="34">
        <v>0</v>
      </c>
      <c r="AF51" s="4"/>
      <c r="AG51" s="34">
        <v>0</v>
      </c>
      <c r="AH51" s="46"/>
      <c r="AI51" s="151">
        <f t="shared" si="25"/>
        <v>0</v>
      </c>
      <c r="AJ51" s="117">
        <f t="shared" si="25"/>
        <v>0</v>
      </c>
      <c r="AK51" s="151">
        <f t="shared" si="21"/>
        <v>0</v>
      </c>
      <c r="AL51" s="117">
        <f t="shared" si="21"/>
        <v>0</v>
      </c>
      <c r="AM51" s="151">
        <f t="shared" si="11"/>
        <v>0</v>
      </c>
      <c r="AN51" s="117">
        <f t="shared" si="12"/>
        <v>0</v>
      </c>
    </row>
    <row r="52" spans="1:40" ht="20.25" customHeight="1" x14ac:dyDescent="0.15">
      <c r="A52" s="23"/>
      <c r="B52" s="5" t="s">
        <v>54</v>
      </c>
      <c r="C52" s="34">
        <v>0</v>
      </c>
      <c r="D52" s="4"/>
      <c r="E52" s="34">
        <v>0</v>
      </c>
      <c r="F52" s="4"/>
      <c r="G52" s="34">
        <v>0</v>
      </c>
      <c r="H52" s="46"/>
      <c r="I52" s="151">
        <f t="shared" si="22"/>
        <v>0</v>
      </c>
      <c r="J52" s="117">
        <f t="shared" si="22"/>
        <v>0</v>
      </c>
      <c r="K52" s="34">
        <v>0</v>
      </c>
      <c r="L52" s="4"/>
      <c r="M52" s="34">
        <v>0</v>
      </c>
      <c r="N52" s="4"/>
      <c r="O52" s="34">
        <v>0</v>
      </c>
      <c r="P52" s="46"/>
      <c r="Q52" s="151">
        <f t="shared" si="23"/>
        <v>0</v>
      </c>
      <c r="R52" s="117">
        <f t="shared" si="23"/>
        <v>0</v>
      </c>
      <c r="S52" s="151">
        <f t="shared" si="20"/>
        <v>0</v>
      </c>
      <c r="T52" s="117">
        <f t="shared" si="20"/>
        <v>0</v>
      </c>
      <c r="U52" s="34">
        <v>0</v>
      </c>
      <c r="V52" s="4"/>
      <c r="W52" s="34">
        <v>0</v>
      </c>
      <c r="X52" s="4"/>
      <c r="Y52" s="34">
        <v>0</v>
      </c>
      <c r="Z52" s="46"/>
      <c r="AA52" s="151">
        <f t="shared" si="24"/>
        <v>0</v>
      </c>
      <c r="AB52" s="117">
        <f t="shared" si="24"/>
        <v>0</v>
      </c>
      <c r="AC52" s="34">
        <v>0</v>
      </c>
      <c r="AD52" s="4"/>
      <c r="AE52" s="34">
        <v>0</v>
      </c>
      <c r="AF52" s="4"/>
      <c r="AG52" s="34">
        <v>0</v>
      </c>
      <c r="AH52" s="46"/>
      <c r="AI52" s="151">
        <f t="shared" si="25"/>
        <v>0</v>
      </c>
      <c r="AJ52" s="117">
        <f t="shared" si="25"/>
        <v>0</v>
      </c>
      <c r="AK52" s="151">
        <f t="shared" si="21"/>
        <v>0</v>
      </c>
      <c r="AL52" s="117">
        <f t="shared" si="21"/>
        <v>0</v>
      </c>
      <c r="AM52" s="151">
        <f t="shared" si="11"/>
        <v>0</v>
      </c>
      <c r="AN52" s="117">
        <f t="shared" si="12"/>
        <v>0</v>
      </c>
    </row>
    <row r="53" spans="1:40" ht="20.25" customHeight="1" x14ac:dyDescent="0.15">
      <c r="A53" s="23"/>
      <c r="B53" s="5" t="s">
        <v>190</v>
      </c>
      <c r="C53" s="34">
        <v>0</v>
      </c>
      <c r="D53" s="4"/>
      <c r="E53" s="34">
        <v>0</v>
      </c>
      <c r="F53" s="4"/>
      <c r="G53" s="34">
        <v>0</v>
      </c>
      <c r="H53" s="46"/>
      <c r="I53" s="151">
        <f t="shared" si="22"/>
        <v>0</v>
      </c>
      <c r="J53" s="117">
        <f t="shared" si="22"/>
        <v>0</v>
      </c>
      <c r="K53" s="34">
        <v>0</v>
      </c>
      <c r="L53" s="4"/>
      <c r="M53" s="34">
        <v>0</v>
      </c>
      <c r="N53" s="4"/>
      <c r="O53" s="34">
        <v>0</v>
      </c>
      <c r="P53" s="46"/>
      <c r="Q53" s="151">
        <f t="shared" si="23"/>
        <v>0</v>
      </c>
      <c r="R53" s="117">
        <f t="shared" si="23"/>
        <v>0</v>
      </c>
      <c r="S53" s="151">
        <f t="shared" si="20"/>
        <v>0</v>
      </c>
      <c r="T53" s="117">
        <f t="shared" si="20"/>
        <v>0</v>
      </c>
      <c r="U53" s="34">
        <v>0</v>
      </c>
      <c r="V53" s="4"/>
      <c r="W53" s="34">
        <v>0</v>
      </c>
      <c r="X53" s="4"/>
      <c r="Y53" s="34">
        <v>0</v>
      </c>
      <c r="Z53" s="46"/>
      <c r="AA53" s="151">
        <f t="shared" si="24"/>
        <v>0</v>
      </c>
      <c r="AB53" s="117">
        <f t="shared" si="24"/>
        <v>0</v>
      </c>
      <c r="AC53" s="34">
        <v>0</v>
      </c>
      <c r="AD53" s="4"/>
      <c r="AE53" s="34">
        <v>0</v>
      </c>
      <c r="AF53" s="4"/>
      <c r="AG53" s="34">
        <v>0</v>
      </c>
      <c r="AH53" s="46"/>
      <c r="AI53" s="151">
        <f t="shared" si="25"/>
        <v>0</v>
      </c>
      <c r="AJ53" s="117">
        <f t="shared" si="25"/>
        <v>0</v>
      </c>
      <c r="AK53" s="151">
        <f t="shared" si="21"/>
        <v>0</v>
      </c>
      <c r="AL53" s="117">
        <f t="shared" si="21"/>
        <v>0</v>
      </c>
      <c r="AM53" s="151">
        <f t="shared" si="11"/>
        <v>0</v>
      </c>
      <c r="AN53" s="117">
        <f t="shared" si="12"/>
        <v>0</v>
      </c>
    </row>
    <row r="54" spans="1:40" ht="20.25" customHeight="1" x14ac:dyDescent="0.15">
      <c r="A54" s="26"/>
      <c r="B54" s="27" t="s">
        <v>55</v>
      </c>
      <c r="C54" s="35">
        <v>1000</v>
      </c>
      <c r="D54" s="28"/>
      <c r="E54" s="35">
        <v>1000</v>
      </c>
      <c r="F54" s="28"/>
      <c r="G54" s="35">
        <v>1000</v>
      </c>
      <c r="H54" s="47"/>
      <c r="I54" s="152">
        <f t="shared" si="22"/>
        <v>3000</v>
      </c>
      <c r="J54" s="118">
        <f t="shared" si="22"/>
        <v>0</v>
      </c>
      <c r="K54" s="35">
        <v>1000</v>
      </c>
      <c r="L54" s="28"/>
      <c r="M54" s="35">
        <v>1000</v>
      </c>
      <c r="N54" s="28"/>
      <c r="O54" s="35">
        <v>1000</v>
      </c>
      <c r="P54" s="47"/>
      <c r="Q54" s="152">
        <f t="shared" si="23"/>
        <v>3000</v>
      </c>
      <c r="R54" s="118">
        <f t="shared" si="23"/>
        <v>0</v>
      </c>
      <c r="S54" s="152">
        <f t="shared" si="20"/>
        <v>6000</v>
      </c>
      <c r="T54" s="118">
        <f t="shared" si="20"/>
        <v>0</v>
      </c>
      <c r="U54" s="35">
        <v>1000</v>
      </c>
      <c r="V54" s="28"/>
      <c r="W54" s="35">
        <v>1000</v>
      </c>
      <c r="X54" s="28"/>
      <c r="Y54" s="35">
        <v>1000</v>
      </c>
      <c r="Z54" s="47"/>
      <c r="AA54" s="152">
        <f t="shared" si="24"/>
        <v>3000</v>
      </c>
      <c r="AB54" s="118">
        <f t="shared" si="24"/>
        <v>0</v>
      </c>
      <c r="AC54" s="35">
        <v>1000</v>
      </c>
      <c r="AD54" s="28"/>
      <c r="AE54" s="35">
        <v>1000</v>
      </c>
      <c r="AF54" s="28">
        <v>6346</v>
      </c>
      <c r="AG54" s="35">
        <v>1000</v>
      </c>
      <c r="AH54" s="47"/>
      <c r="AI54" s="152">
        <f t="shared" si="25"/>
        <v>3000</v>
      </c>
      <c r="AJ54" s="118">
        <f t="shared" si="25"/>
        <v>6346</v>
      </c>
      <c r="AK54" s="152">
        <f t="shared" si="21"/>
        <v>6000</v>
      </c>
      <c r="AL54" s="118">
        <f t="shared" si="21"/>
        <v>6346</v>
      </c>
      <c r="AM54" s="152">
        <f t="shared" si="11"/>
        <v>12000</v>
      </c>
      <c r="AN54" s="118">
        <f t="shared" si="12"/>
        <v>6346</v>
      </c>
    </row>
    <row r="55" spans="1:40" ht="20.25" customHeight="1" x14ac:dyDescent="0.15">
      <c r="A55" s="21" t="s">
        <v>81</v>
      </c>
      <c r="B55" s="22" t="s">
        <v>188</v>
      </c>
      <c r="C55" s="34"/>
      <c r="D55" s="4"/>
      <c r="E55" s="34"/>
      <c r="F55" s="4"/>
      <c r="G55" s="34"/>
      <c r="H55" s="46"/>
      <c r="I55" s="151">
        <f t="shared" si="22"/>
        <v>0</v>
      </c>
      <c r="J55" s="117">
        <f t="shared" si="22"/>
        <v>0</v>
      </c>
      <c r="K55" s="34"/>
      <c r="L55" s="4"/>
      <c r="M55" s="34"/>
      <c r="N55" s="4"/>
      <c r="O55" s="34"/>
      <c r="P55" s="46"/>
      <c r="Q55" s="151">
        <f t="shared" si="23"/>
        <v>0</v>
      </c>
      <c r="R55" s="117">
        <f t="shared" si="23"/>
        <v>0</v>
      </c>
      <c r="S55" s="151">
        <f t="shared" si="20"/>
        <v>0</v>
      </c>
      <c r="T55" s="117">
        <f t="shared" si="20"/>
        <v>0</v>
      </c>
      <c r="U55" s="34"/>
      <c r="V55" s="4"/>
      <c r="W55" s="34"/>
      <c r="X55" s="4"/>
      <c r="Y55" s="34"/>
      <c r="Z55" s="46"/>
      <c r="AA55" s="151">
        <f t="shared" si="24"/>
        <v>0</v>
      </c>
      <c r="AB55" s="117">
        <f t="shared" si="24"/>
        <v>0</v>
      </c>
      <c r="AC55" s="34"/>
      <c r="AD55" s="4"/>
      <c r="AE55" s="34"/>
      <c r="AF55" s="4"/>
      <c r="AG55" s="34"/>
      <c r="AH55" s="46"/>
      <c r="AI55" s="151">
        <f t="shared" si="25"/>
        <v>0</v>
      </c>
      <c r="AJ55" s="117">
        <f t="shared" si="25"/>
        <v>0</v>
      </c>
      <c r="AK55" s="151">
        <f t="shared" si="21"/>
        <v>0</v>
      </c>
      <c r="AL55" s="117">
        <f t="shared" si="21"/>
        <v>0</v>
      </c>
      <c r="AM55" s="151">
        <f t="shared" si="11"/>
        <v>0</v>
      </c>
      <c r="AN55" s="117">
        <f t="shared" si="12"/>
        <v>0</v>
      </c>
    </row>
    <row r="56" spans="1:40" ht="20.25" customHeight="1" x14ac:dyDescent="0.15">
      <c r="A56" s="21"/>
      <c r="B56" s="5" t="s">
        <v>207</v>
      </c>
      <c r="C56" s="34"/>
      <c r="D56" s="4"/>
      <c r="E56" s="34"/>
      <c r="F56" s="4"/>
      <c r="G56" s="34"/>
      <c r="H56" s="46"/>
      <c r="I56" s="151">
        <f t="shared" si="22"/>
        <v>0</v>
      </c>
      <c r="J56" s="117">
        <f t="shared" si="22"/>
        <v>0</v>
      </c>
      <c r="K56" s="34"/>
      <c r="L56" s="4"/>
      <c r="M56" s="34"/>
      <c r="N56" s="4"/>
      <c r="O56" s="34"/>
      <c r="P56" s="46"/>
      <c r="Q56" s="151"/>
      <c r="R56" s="117"/>
      <c r="S56" s="151"/>
      <c r="T56" s="117"/>
      <c r="U56" s="34"/>
      <c r="V56" s="4"/>
      <c r="W56" s="34"/>
      <c r="X56" s="4"/>
      <c r="Y56" s="34"/>
      <c r="Z56" s="46"/>
      <c r="AA56" s="151"/>
      <c r="AB56" s="117"/>
      <c r="AC56" s="34"/>
      <c r="AD56" s="4"/>
      <c r="AE56" s="34"/>
      <c r="AF56" s="4"/>
      <c r="AG56" s="34"/>
      <c r="AH56" s="46"/>
      <c r="AI56" s="151"/>
      <c r="AJ56" s="117"/>
      <c r="AK56" s="151"/>
      <c r="AL56" s="117"/>
      <c r="AM56" s="151"/>
      <c r="AN56" s="117">
        <f t="shared" si="12"/>
        <v>0</v>
      </c>
    </row>
    <row r="57" spans="1:40" ht="20.25" customHeight="1" thickBot="1" x14ac:dyDescent="0.2">
      <c r="A57" s="21" t="s">
        <v>82</v>
      </c>
      <c r="B57" s="6" t="s">
        <v>74</v>
      </c>
      <c r="C57" s="34"/>
      <c r="D57" s="4"/>
      <c r="E57" s="34"/>
      <c r="F57" s="4"/>
      <c r="G57" s="34"/>
      <c r="H57" s="46"/>
      <c r="I57" s="151">
        <f t="shared" si="22"/>
        <v>0</v>
      </c>
      <c r="J57" s="117">
        <f t="shared" si="22"/>
        <v>0</v>
      </c>
      <c r="K57" s="34">
        <v>100000</v>
      </c>
      <c r="L57" s="4">
        <v>82500</v>
      </c>
      <c r="M57" s="34"/>
      <c r="N57" s="4"/>
      <c r="O57" s="34">
        <v>100000</v>
      </c>
      <c r="P57" s="46">
        <v>80000</v>
      </c>
      <c r="Q57" s="151">
        <f t="shared" si="23"/>
        <v>200000</v>
      </c>
      <c r="R57" s="117">
        <f t="shared" si="23"/>
        <v>162500</v>
      </c>
      <c r="S57" s="151">
        <f t="shared" si="20"/>
        <v>200000</v>
      </c>
      <c r="T57" s="117">
        <f t="shared" si="20"/>
        <v>162500</v>
      </c>
      <c r="U57" s="34"/>
      <c r="V57" s="4"/>
      <c r="W57" s="34"/>
      <c r="X57" s="4">
        <v>16500</v>
      </c>
      <c r="Y57" s="34">
        <v>100000</v>
      </c>
      <c r="Z57" s="46"/>
      <c r="AA57" s="151">
        <f t="shared" si="24"/>
        <v>100000</v>
      </c>
      <c r="AB57" s="117">
        <f t="shared" si="24"/>
        <v>16500</v>
      </c>
      <c r="AC57" s="34"/>
      <c r="AD57" s="4">
        <v>80000</v>
      </c>
      <c r="AE57" s="34"/>
      <c r="AF57" s="4"/>
      <c r="AG57" s="34"/>
      <c r="AH57" s="46"/>
      <c r="AI57" s="151">
        <f t="shared" si="25"/>
        <v>0</v>
      </c>
      <c r="AJ57" s="117">
        <f t="shared" si="25"/>
        <v>80000</v>
      </c>
      <c r="AK57" s="151">
        <f t="shared" si="21"/>
        <v>100000</v>
      </c>
      <c r="AL57" s="117">
        <f t="shared" si="21"/>
        <v>96500</v>
      </c>
      <c r="AM57" s="151">
        <f t="shared" si="11"/>
        <v>300000</v>
      </c>
      <c r="AN57" s="117">
        <f t="shared" si="12"/>
        <v>259000</v>
      </c>
    </row>
    <row r="58" spans="1:40" ht="20.25" customHeight="1" thickTop="1" thickBot="1" x14ac:dyDescent="0.2">
      <c r="A58" s="24"/>
      <c r="B58" s="7" t="s">
        <v>27</v>
      </c>
      <c r="C58" s="40">
        <f>SUM(C33:C57)</f>
        <v>328800</v>
      </c>
      <c r="D58" s="14">
        <f t="shared" ref="D58:AM58" si="26">SUM(D33:D57)</f>
        <v>265294</v>
      </c>
      <c r="E58" s="40">
        <f t="shared" si="26"/>
        <v>238800</v>
      </c>
      <c r="F58" s="14">
        <f t="shared" si="26"/>
        <v>248673</v>
      </c>
      <c r="G58" s="40">
        <f t="shared" si="26"/>
        <v>238800</v>
      </c>
      <c r="H58" s="52">
        <f t="shared" si="26"/>
        <v>419894</v>
      </c>
      <c r="I58" s="40">
        <f t="shared" si="26"/>
        <v>806400</v>
      </c>
      <c r="J58" s="14">
        <f t="shared" si="26"/>
        <v>933861</v>
      </c>
      <c r="K58" s="40">
        <f t="shared" si="26"/>
        <v>448800</v>
      </c>
      <c r="L58" s="14">
        <f t="shared" si="26"/>
        <v>393323</v>
      </c>
      <c r="M58" s="40">
        <f t="shared" si="26"/>
        <v>283800</v>
      </c>
      <c r="N58" s="14">
        <f t="shared" si="26"/>
        <v>281207</v>
      </c>
      <c r="O58" s="40">
        <f t="shared" si="26"/>
        <v>338800</v>
      </c>
      <c r="P58" s="52">
        <f t="shared" si="26"/>
        <v>323869</v>
      </c>
      <c r="Q58" s="40">
        <f t="shared" si="26"/>
        <v>1071400</v>
      </c>
      <c r="R58" s="14">
        <f t="shared" si="26"/>
        <v>998399</v>
      </c>
      <c r="S58" s="40">
        <f t="shared" si="26"/>
        <v>1877800</v>
      </c>
      <c r="T58" s="14">
        <f t="shared" si="26"/>
        <v>1932260</v>
      </c>
      <c r="U58" s="40">
        <f t="shared" si="26"/>
        <v>238800</v>
      </c>
      <c r="V58" s="14">
        <f t="shared" si="26"/>
        <v>259662</v>
      </c>
      <c r="W58" s="40">
        <f t="shared" si="26"/>
        <v>238800</v>
      </c>
      <c r="X58" s="14">
        <f t="shared" si="26"/>
        <v>301278</v>
      </c>
      <c r="Y58" s="40">
        <f t="shared" si="26"/>
        <v>428800</v>
      </c>
      <c r="Z58" s="52">
        <f t="shared" si="26"/>
        <v>243754</v>
      </c>
      <c r="AA58" s="40">
        <f t="shared" si="26"/>
        <v>906400</v>
      </c>
      <c r="AB58" s="14">
        <f t="shared" si="26"/>
        <v>804694</v>
      </c>
      <c r="AC58" s="40">
        <f t="shared" si="26"/>
        <v>238800</v>
      </c>
      <c r="AD58" s="14">
        <f t="shared" si="26"/>
        <v>321493</v>
      </c>
      <c r="AE58" s="40">
        <f t="shared" si="26"/>
        <v>333800</v>
      </c>
      <c r="AF58" s="14">
        <f t="shared" si="26"/>
        <v>611209</v>
      </c>
      <c r="AG58" s="40">
        <f t="shared" si="26"/>
        <v>238800</v>
      </c>
      <c r="AH58" s="52">
        <f t="shared" si="26"/>
        <v>398786</v>
      </c>
      <c r="AI58" s="40">
        <f t="shared" si="26"/>
        <v>811400</v>
      </c>
      <c r="AJ58" s="14">
        <f t="shared" si="26"/>
        <v>1331488</v>
      </c>
      <c r="AK58" s="40">
        <f t="shared" si="26"/>
        <v>1717800</v>
      </c>
      <c r="AL58" s="14">
        <f t="shared" si="26"/>
        <v>2136182</v>
      </c>
      <c r="AM58" s="40">
        <f t="shared" si="26"/>
        <v>3595600</v>
      </c>
      <c r="AN58" s="14">
        <f t="shared" si="12"/>
        <v>4068442</v>
      </c>
    </row>
    <row r="59" spans="1:40" ht="20.25" customHeight="1" thickBot="1" x14ac:dyDescent="0.2">
      <c r="A59" s="212" t="s">
        <v>57</v>
      </c>
      <c r="B59" s="213"/>
      <c r="C59" s="41">
        <f>C32+C58</f>
        <v>1074991.95</v>
      </c>
      <c r="D59" s="15">
        <f t="shared" ref="D59:AM59" si="27">D32+D58</f>
        <v>1011485.95</v>
      </c>
      <c r="E59" s="41">
        <f t="shared" si="27"/>
        <v>984991.95</v>
      </c>
      <c r="F59" s="15">
        <f t="shared" si="27"/>
        <v>994117.95</v>
      </c>
      <c r="G59" s="41">
        <f t="shared" si="27"/>
        <v>984991.95</v>
      </c>
      <c r="H59" s="53">
        <f t="shared" si="27"/>
        <v>1165338.95</v>
      </c>
      <c r="I59" s="41">
        <f t="shared" si="27"/>
        <v>3044975.85</v>
      </c>
      <c r="J59" s="15">
        <f t="shared" si="27"/>
        <v>3170942.85</v>
      </c>
      <c r="K59" s="41">
        <f t="shared" si="27"/>
        <v>1194991.95</v>
      </c>
      <c r="L59" s="15">
        <f t="shared" si="27"/>
        <v>1138767.95</v>
      </c>
      <c r="M59" s="41">
        <f t="shared" si="27"/>
        <v>1029991.95</v>
      </c>
      <c r="N59" s="15">
        <f t="shared" si="27"/>
        <v>1026651.95</v>
      </c>
      <c r="O59" s="41">
        <f t="shared" si="27"/>
        <v>1084991.95</v>
      </c>
      <c r="P59" s="53">
        <f t="shared" si="27"/>
        <v>1069313.95</v>
      </c>
      <c r="Q59" s="41">
        <f t="shared" si="27"/>
        <v>3309975.85</v>
      </c>
      <c r="R59" s="15">
        <f t="shared" si="27"/>
        <v>3234733.85</v>
      </c>
      <c r="S59" s="41">
        <f t="shared" si="27"/>
        <v>6354951.7000000002</v>
      </c>
      <c r="T59" s="15">
        <f t="shared" si="27"/>
        <v>6405676.7000000002</v>
      </c>
      <c r="U59" s="41">
        <f t="shared" si="27"/>
        <v>984991.95</v>
      </c>
      <c r="V59" s="15">
        <f t="shared" si="27"/>
        <v>1005106.95</v>
      </c>
      <c r="W59" s="41">
        <f t="shared" si="27"/>
        <v>984991.95</v>
      </c>
      <c r="X59" s="15">
        <f t="shared" si="27"/>
        <v>1049288.95</v>
      </c>
      <c r="Y59" s="41">
        <f t="shared" si="27"/>
        <v>1174991.95</v>
      </c>
      <c r="Z59" s="53">
        <f t="shared" si="27"/>
        <v>991764.95</v>
      </c>
      <c r="AA59" s="41">
        <f t="shared" si="27"/>
        <v>3144975.85</v>
      </c>
      <c r="AB59" s="15">
        <f t="shared" si="27"/>
        <v>3046160.85</v>
      </c>
      <c r="AC59" s="41">
        <f t="shared" si="27"/>
        <v>984991.95</v>
      </c>
      <c r="AD59" s="15">
        <f t="shared" si="27"/>
        <v>1069503.95</v>
      </c>
      <c r="AE59" s="41">
        <f t="shared" si="27"/>
        <v>1079991.95</v>
      </c>
      <c r="AF59" s="15">
        <f t="shared" si="27"/>
        <v>2359219.9500000002</v>
      </c>
      <c r="AG59" s="41">
        <f t="shared" si="27"/>
        <v>984991.95</v>
      </c>
      <c r="AH59" s="53">
        <f t="shared" si="27"/>
        <v>2146796.9500000002</v>
      </c>
      <c r="AI59" s="41">
        <f t="shared" si="27"/>
        <v>3049975.85</v>
      </c>
      <c r="AJ59" s="15">
        <f t="shared" si="27"/>
        <v>5575520.8499999996</v>
      </c>
      <c r="AK59" s="41">
        <f t="shared" si="27"/>
        <v>6194951.7000000002</v>
      </c>
      <c r="AL59" s="15">
        <f t="shared" si="27"/>
        <v>8621681.6999999993</v>
      </c>
      <c r="AM59" s="41">
        <f t="shared" si="27"/>
        <v>12549903.4</v>
      </c>
      <c r="AN59" s="15">
        <f t="shared" si="12"/>
        <v>15027358.399999999</v>
      </c>
    </row>
    <row r="60" spans="1:40" ht="20.25" customHeight="1" x14ac:dyDescent="0.15">
      <c r="A60" s="218" t="s">
        <v>75</v>
      </c>
      <c r="B60" s="219"/>
      <c r="C60" s="37">
        <f>C21-C59</f>
        <v>4835009.05</v>
      </c>
      <c r="D60" s="9">
        <f t="shared" ref="D60:AM60" si="28">D21-D59</f>
        <v>4657448.05</v>
      </c>
      <c r="E60" s="37">
        <f t="shared" si="28"/>
        <v>6091076.8500000006</v>
      </c>
      <c r="F60" s="9">
        <f t="shared" si="28"/>
        <v>5250111.05</v>
      </c>
      <c r="G60" s="37">
        <f t="shared" si="28"/>
        <v>5614026.8500000006</v>
      </c>
      <c r="H60" s="49">
        <f t="shared" si="28"/>
        <v>5723903.0499999998</v>
      </c>
      <c r="I60" s="37">
        <f t="shared" si="28"/>
        <v>16540112.749999994</v>
      </c>
      <c r="J60" s="9">
        <f t="shared" si="28"/>
        <v>15631462.15</v>
      </c>
      <c r="K60" s="37">
        <f t="shared" si="28"/>
        <v>5100795.05</v>
      </c>
      <c r="L60" s="9">
        <f t="shared" si="28"/>
        <v>5432741.0499999998</v>
      </c>
      <c r="M60" s="37">
        <f t="shared" si="28"/>
        <v>6162176.8500000006</v>
      </c>
      <c r="N60" s="9">
        <f t="shared" si="28"/>
        <v>5711033.0499999998</v>
      </c>
      <c r="O60" s="37">
        <f t="shared" si="28"/>
        <v>6413061.8500000006</v>
      </c>
      <c r="P60" s="49">
        <f t="shared" si="28"/>
        <v>5850898.0499999998</v>
      </c>
      <c r="Q60" s="37">
        <f t="shared" si="28"/>
        <v>17676033.749999993</v>
      </c>
      <c r="R60" s="9">
        <f t="shared" si="28"/>
        <v>16994672.149999999</v>
      </c>
      <c r="S60" s="37">
        <f t="shared" si="28"/>
        <v>34216146.499999985</v>
      </c>
      <c r="T60" s="9">
        <f t="shared" si="28"/>
        <v>32626134.300000001</v>
      </c>
      <c r="U60" s="37">
        <f t="shared" si="28"/>
        <v>7106211.8500000006</v>
      </c>
      <c r="V60" s="9">
        <f t="shared" si="28"/>
        <v>5964439.0499999998</v>
      </c>
      <c r="W60" s="37">
        <f t="shared" si="28"/>
        <v>6809636.8500000006</v>
      </c>
      <c r="X60" s="9">
        <f t="shared" si="28"/>
        <v>5731587.0499999998</v>
      </c>
      <c r="Y60" s="37">
        <f t="shared" si="28"/>
        <v>6323061.8500000006</v>
      </c>
      <c r="Z60" s="49">
        <f t="shared" si="28"/>
        <v>5311985.05</v>
      </c>
      <c r="AA60" s="37">
        <f t="shared" si="28"/>
        <v>20238910.550000004</v>
      </c>
      <c r="AB60" s="9">
        <f t="shared" si="28"/>
        <v>17008011.149999999</v>
      </c>
      <c r="AC60" s="37">
        <f t="shared" si="28"/>
        <v>6313061.8500000006</v>
      </c>
      <c r="AD60" s="9">
        <f t="shared" si="28"/>
        <v>4848858.05</v>
      </c>
      <c r="AE60" s="37">
        <f t="shared" si="28"/>
        <v>6557980.0499999998</v>
      </c>
      <c r="AF60" s="9">
        <f t="shared" si="28"/>
        <v>3580907.05</v>
      </c>
      <c r="AG60" s="37">
        <f t="shared" si="28"/>
        <v>5833255.0499999998</v>
      </c>
      <c r="AH60" s="49">
        <f t="shared" si="28"/>
        <v>3201589.05</v>
      </c>
      <c r="AI60" s="37">
        <f t="shared" si="28"/>
        <v>18704296.949999996</v>
      </c>
      <c r="AJ60" s="9">
        <f t="shared" si="28"/>
        <v>11631354.15</v>
      </c>
      <c r="AK60" s="37">
        <f t="shared" si="28"/>
        <v>38943207.499999985</v>
      </c>
      <c r="AL60" s="9">
        <f t="shared" si="28"/>
        <v>28639365.300000001</v>
      </c>
      <c r="AM60" s="37">
        <f t="shared" si="28"/>
        <v>73159353.99999997</v>
      </c>
      <c r="AN60" s="9">
        <f t="shared" si="12"/>
        <v>61265499.599999987</v>
      </c>
    </row>
    <row r="61" spans="1:40" s="16" customFormat="1" ht="20.25" customHeight="1" thickBot="1" x14ac:dyDescent="0.2">
      <c r="A61" s="210" t="s">
        <v>29</v>
      </c>
      <c r="B61" s="211"/>
      <c r="C61" s="38">
        <f t="shared" ref="C61:AN61" si="29">IF(C5=0,"        ― ",C60/C5)</f>
        <v>0.13468689603416778</v>
      </c>
      <c r="D61" s="10">
        <f t="shared" si="29"/>
        <v>0.13160064563728469</v>
      </c>
      <c r="E61" s="38">
        <f t="shared" si="29"/>
        <v>0.16382432449878351</v>
      </c>
      <c r="F61" s="10">
        <f t="shared" si="29"/>
        <v>0.14534653965585712</v>
      </c>
      <c r="G61" s="38">
        <f t="shared" si="29"/>
        <v>0.15368541698262275</v>
      </c>
      <c r="H61" s="50">
        <f t="shared" si="29"/>
        <v>0.15822032647620143</v>
      </c>
      <c r="I61" s="38">
        <f t="shared" si="29"/>
        <v>0.150902395189695</v>
      </c>
      <c r="J61" s="10">
        <f t="shared" si="29"/>
        <v>0.14515389660758973</v>
      </c>
      <c r="K61" s="38">
        <f t="shared" si="29"/>
        <v>0.14069707152972355</v>
      </c>
      <c r="L61" s="10">
        <f t="shared" si="29"/>
        <v>0.15233029209667279</v>
      </c>
      <c r="M61" s="38">
        <f t="shared" si="29"/>
        <v>0.16573661517557303</v>
      </c>
      <c r="N61" s="10">
        <f t="shared" si="29"/>
        <v>0.15929487614860188</v>
      </c>
      <c r="O61" s="38">
        <f t="shared" si="29"/>
        <v>0.17134224635720896</v>
      </c>
      <c r="P61" s="50">
        <f t="shared" si="29"/>
        <v>0.17363949924356734</v>
      </c>
      <c r="Q61" s="38">
        <f t="shared" si="29"/>
        <v>0.15944083018758654</v>
      </c>
      <c r="R61" s="10">
        <f t="shared" si="29"/>
        <v>0.16152813362070276</v>
      </c>
      <c r="S61" s="38">
        <f t="shared" si="29"/>
        <v>0.1551959075736489</v>
      </c>
      <c r="T61" s="10">
        <f t="shared" si="29"/>
        <v>0.15324575987482167</v>
      </c>
      <c r="U61" s="38">
        <f t="shared" si="29"/>
        <v>0.18661478889929839</v>
      </c>
      <c r="V61" s="10">
        <f t="shared" si="29"/>
        <v>0.17732114848554092</v>
      </c>
      <c r="W61" s="38">
        <f t="shared" si="29"/>
        <v>0.18036873865599584</v>
      </c>
      <c r="X61" s="10">
        <f t="shared" si="29"/>
        <v>0.172259556330559</v>
      </c>
      <c r="Y61" s="38">
        <f t="shared" si="29"/>
        <v>0.16893765358501406</v>
      </c>
      <c r="Z61" s="50">
        <f t="shared" si="29"/>
        <v>0.15914763528328582</v>
      </c>
      <c r="AA61" s="38">
        <f t="shared" si="29"/>
        <v>0.17869121110205397</v>
      </c>
      <c r="AB61" s="10">
        <f t="shared" si="29"/>
        <v>0.16959328549432426</v>
      </c>
      <c r="AC61" s="38">
        <f t="shared" si="29"/>
        <v>0.16867047661032575</v>
      </c>
      <c r="AD61" s="10">
        <f t="shared" si="29"/>
        <v>0.1453862268648031</v>
      </c>
      <c r="AE61" s="38">
        <f t="shared" si="29"/>
        <v>0.17370303524330882</v>
      </c>
      <c r="AF61" s="10">
        <f t="shared" si="29"/>
        <v>0.10671868798826892</v>
      </c>
      <c r="AG61" s="38">
        <f t="shared" si="29"/>
        <v>0.15852453483181791</v>
      </c>
      <c r="AH61" s="50">
        <f t="shared" si="29"/>
        <v>9.6640527310867613E-2</v>
      </c>
      <c r="AI61" s="38">
        <f t="shared" si="29"/>
        <v>0.16703318709380127</v>
      </c>
      <c r="AJ61" s="10">
        <f t="shared" si="29"/>
        <v>0.11627279021248633</v>
      </c>
      <c r="AK61" s="38">
        <f t="shared" si="29"/>
        <v>0.17289538626216439</v>
      </c>
      <c r="AL61" s="10">
        <f t="shared" si="29"/>
        <v>0.14296657668375218</v>
      </c>
      <c r="AM61" s="38">
        <f t="shared" si="29"/>
        <v>0.16414037199459172</v>
      </c>
      <c r="AN61" s="10">
        <f t="shared" si="29"/>
        <v>0.14826261900134974</v>
      </c>
    </row>
    <row r="62" spans="1:40" s="18" customFormat="1" ht="20.25" hidden="1" customHeight="1" thickBot="1" x14ac:dyDescent="0.2">
      <c r="A62" s="237" t="s">
        <v>58</v>
      </c>
      <c r="B62" s="238"/>
      <c r="C62" s="42"/>
      <c r="D62" s="17"/>
      <c r="E62" s="42"/>
      <c r="F62" s="17"/>
      <c r="G62" s="42"/>
      <c r="H62" s="54"/>
      <c r="I62" s="41"/>
      <c r="J62" s="15"/>
      <c r="K62" s="42"/>
      <c r="L62" s="17"/>
      <c r="M62" s="42"/>
      <c r="N62" s="17"/>
      <c r="O62" s="42"/>
      <c r="P62" s="54"/>
      <c r="Q62" s="41"/>
      <c r="R62" s="15"/>
      <c r="S62" s="41"/>
      <c r="T62" s="15"/>
      <c r="U62" s="42"/>
      <c r="V62" s="17"/>
      <c r="W62" s="42"/>
      <c r="X62" s="17"/>
      <c r="Y62" s="42"/>
      <c r="Z62" s="54"/>
      <c r="AA62" s="41"/>
      <c r="AB62" s="15"/>
      <c r="AC62" s="42"/>
      <c r="AD62" s="17"/>
      <c r="AE62" s="42"/>
      <c r="AF62" s="17"/>
      <c r="AG62" s="42"/>
      <c r="AH62" s="54"/>
      <c r="AI62" s="41"/>
      <c r="AJ62" s="15"/>
      <c r="AK62" s="41"/>
      <c r="AL62" s="15"/>
      <c r="AM62" s="41"/>
      <c r="AN62" s="15"/>
    </row>
    <row r="63" spans="1:40" s="18" customFormat="1" ht="20.25" customHeight="1" thickBot="1" x14ac:dyDescent="0.2">
      <c r="A63" s="239" t="s">
        <v>59</v>
      </c>
      <c r="B63" s="240"/>
      <c r="C63" s="42">
        <f t="shared" ref="C63:AM63" si="30">C5*0.04</f>
        <v>1435925.6</v>
      </c>
      <c r="D63" s="17">
        <f t="shared" si="30"/>
        <v>1415630.76</v>
      </c>
      <c r="E63" s="42">
        <f t="shared" si="30"/>
        <v>1487221.6</v>
      </c>
      <c r="F63" s="17">
        <f t="shared" si="30"/>
        <v>1444853.4000000001</v>
      </c>
      <c r="G63" s="42">
        <f t="shared" si="30"/>
        <v>1461173.6</v>
      </c>
      <c r="H63" s="54">
        <f t="shared" si="30"/>
        <v>1447071.48</v>
      </c>
      <c r="I63" s="41">
        <f t="shared" si="30"/>
        <v>4384320.8</v>
      </c>
      <c r="J63" s="15">
        <f t="shared" si="30"/>
        <v>4307555.6399999997</v>
      </c>
      <c r="K63" s="42">
        <f t="shared" si="30"/>
        <v>1450149.6</v>
      </c>
      <c r="L63" s="17">
        <f t="shared" si="30"/>
        <v>1426568.8</v>
      </c>
      <c r="M63" s="42">
        <f t="shared" si="30"/>
        <v>1487221.6</v>
      </c>
      <c r="N63" s="17">
        <f t="shared" si="30"/>
        <v>1434078.28</v>
      </c>
      <c r="O63" s="42">
        <f t="shared" si="30"/>
        <v>1497135</v>
      </c>
      <c r="P63" s="54">
        <f t="shared" si="30"/>
        <v>1347826.52</v>
      </c>
      <c r="Q63" s="41">
        <f t="shared" si="30"/>
        <v>4434506.2</v>
      </c>
      <c r="R63" s="15">
        <f t="shared" si="30"/>
        <v>4208473.5999999996</v>
      </c>
      <c r="S63" s="41">
        <f t="shared" si="30"/>
        <v>8818827</v>
      </c>
      <c r="T63" s="15">
        <f t="shared" si="30"/>
        <v>8516029.2400000002</v>
      </c>
      <c r="U63" s="42">
        <f t="shared" si="30"/>
        <v>1523183</v>
      </c>
      <c r="V63" s="17">
        <f t="shared" si="30"/>
        <v>1345454.6400000001</v>
      </c>
      <c r="W63" s="42">
        <f t="shared" si="30"/>
        <v>1510159</v>
      </c>
      <c r="X63" s="17">
        <f t="shared" si="30"/>
        <v>1330918.8</v>
      </c>
      <c r="Y63" s="42">
        <f t="shared" si="30"/>
        <v>1497135</v>
      </c>
      <c r="Z63" s="54">
        <f t="shared" si="30"/>
        <v>1335108.76</v>
      </c>
      <c r="AA63" s="41">
        <f t="shared" si="30"/>
        <v>4530477</v>
      </c>
      <c r="AB63" s="15">
        <f t="shared" si="30"/>
        <v>4011482.2</v>
      </c>
      <c r="AC63" s="42">
        <f t="shared" si="30"/>
        <v>1497135</v>
      </c>
      <c r="AD63" s="17">
        <f t="shared" si="30"/>
        <v>1334062.56</v>
      </c>
      <c r="AE63" s="42">
        <f t="shared" si="30"/>
        <v>1510159</v>
      </c>
      <c r="AF63" s="17">
        <f t="shared" si="30"/>
        <v>1342185.56</v>
      </c>
      <c r="AG63" s="42">
        <f t="shared" si="30"/>
        <v>1471887</v>
      </c>
      <c r="AH63" s="54">
        <f t="shared" si="30"/>
        <v>1325153.8</v>
      </c>
      <c r="AI63" s="41">
        <f t="shared" si="30"/>
        <v>4479181</v>
      </c>
      <c r="AJ63" s="15">
        <f t="shared" si="30"/>
        <v>4001401.92</v>
      </c>
      <c r="AK63" s="41">
        <f t="shared" si="30"/>
        <v>9009658</v>
      </c>
      <c r="AL63" s="15">
        <f t="shared" si="30"/>
        <v>8012884.1200000001</v>
      </c>
      <c r="AM63" s="41">
        <f t="shared" si="30"/>
        <v>17828485</v>
      </c>
      <c r="AN63" s="15">
        <f>AN5*0.04</f>
        <v>16528913.360000001</v>
      </c>
    </row>
    <row r="64" spans="1:40" ht="20.25" customHeight="1" x14ac:dyDescent="0.15">
      <c r="A64" s="218" t="s">
        <v>60</v>
      </c>
      <c r="B64" s="219"/>
      <c r="C64" s="37">
        <f>C60-C63+C62</f>
        <v>3399083.4499999997</v>
      </c>
      <c r="D64" s="9">
        <f t="shared" ref="D64:AM64" si="31">D60-D63+D62</f>
        <v>3241817.29</v>
      </c>
      <c r="E64" s="37">
        <f t="shared" si="31"/>
        <v>4603855.25</v>
      </c>
      <c r="F64" s="9">
        <f t="shared" si="31"/>
        <v>3805257.6499999994</v>
      </c>
      <c r="G64" s="37">
        <f t="shared" si="31"/>
        <v>4152853.2500000005</v>
      </c>
      <c r="H64" s="49">
        <f t="shared" si="31"/>
        <v>4276831.57</v>
      </c>
      <c r="I64" s="37">
        <f t="shared" si="31"/>
        <v>12155791.949999996</v>
      </c>
      <c r="J64" s="9">
        <f t="shared" si="31"/>
        <v>11323906.510000002</v>
      </c>
      <c r="K64" s="37">
        <f t="shared" si="31"/>
        <v>3650645.4499999997</v>
      </c>
      <c r="L64" s="9">
        <f t="shared" si="31"/>
        <v>4006172.25</v>
      </c>
      <c r="M64" s="37">
        <f t="shared" si="31"/>
        <v>4674955.25</v>
      </c>
      <c r="N64" s="9">
        <f t="shared" si="31"/>
        <v>4276954.7699999996</v>
      </c>
      <c r="O64" s="37">
        <f t="shared" si="31"/>
        <v>4915926.8500000006</v>
      </c>
      <c r="P64" s="49">
        <f t="shared" si="31"/>
        <v>4503071.5299999993</v>
      </c>
      <c r="Q64" s="37">
        <f t="shared" si="31"/>
        <v>13241527.549999993</v>
      </c>
      <c r="R64" s="9">
        <f t="shared" si="31"/>
        <v>12786198.549999999</v>
      </c>
      <c r="S64" s="37">
        <f t="shared" si="31"/>
        <v>25397319.499999985</v>
      </c>
      <c r="T64" s="9">
        <f t="shared" si="31"/>
        <v>24110105.060000002</v>
      </c>
      <c r="U64" s="37">
        <f t="shared" si="31"/>
        <v>5583028.8500000006</v>
      </c>
      <c r="V64" s="9">
        <f t="shared" si="31"/>
        <v>4618984.41</v>
      </c>
      <c r="W64" s="37">
        <f t="shared" si="31"/>
        <v>5299477.8500000006</v>
      </c>
      <c r="X64" s="9">
        <f t="shared" si="31"/>
        <v>4400668.25</v>
      </c>
      <c r="Y64" s="37">
        <f t="shared" si="31"/>
        <v>4825926.8500000006</v>
      </c>
      <c r="Z64" s="49">
        <f t="shared" si="31"/>
        <v>3976876.29</v>
      </c>
      <c r="AA64" s="37">
        <f t="shared" si="31"/>
        <v>15708433.550000004</v>
      </c>
      <c r="AB64" s="9">
        <f t="shared" si="31"/>
        <v>12996528.949999999</v>
      </c>
      <c r="AC64" s="37">
        <f t="shared" si="31"/>
        <v>4815926.8500000006</v>
      </c>
      <c r="AD64" s="9">
        <f t="shared" si="31"/>
        <v>3514795.4899999998</v>
      </c>
      <c r="AE64" s="37">
        <f t="shared" si="31"/>
        <v>5047821.05</v>
      </c>
      <c r="AF64" s="9">
        <f t="shared" si="31"/>
        <v>2238721.4899999998</v>
      </c>
      <c r="AG64" s="37">
        <f t="shared" si="31"/>
        <v>4361368.05</v>
      </c>
      <c r="AH64" s="49">
        <f t="shared" si="31"/>
        <v>1876435.2499999998</v>
      </c>
      <c r="AI64" s="37">
        <f t="shared" si="31"/>
        <v>14225115.949999996</v>
      </c>
      <c r="AJ64" s="9">
        <f t="shared" si="31"/>
        <v>7629952.2300000004</v>
      </c>
      <c r="AK64" s="37">
        <f t="shared" si="31"/>
        <v>29933549.499999985</v>
      </c>
      <c r="AL64" s="9">
        <f t="shared" si="31"/>
        <v>20626481.18</v>
      </c>
      <c r="AM64" s="37">
        <f t="shared" si="31"/>
        <v>55330868.99999997</v>
      </c>
      <c r="AN64" s="9">
        <f>AN60-AN63+AN62</f>
        <v>44736586.239999987</v>
      </c>
    </row>
    <row r="65" spans="1:40" s="16" customFormat="1" ht="20.25" customHeight="1" thickBot="1" x14ac:dyDescent="0.2">
      <c r="A65" s="210" t="s">
        <v>61</v>
      </c>
      <c r="B65" s="211"/>
      <c r="C65" s="38">
        <f t="shared" ref="C65:AN65" si="32">IF(C11=0,"        ― ",C64/C5)</f>
        <v>9.4686896034167772E-2</v>
      </c>
      <c r="D65" s="10">
        <f t="shared" si="32"/>
        <v>9.1600645637284678E-2</v>
      </c>
      <c r="E65" s="38">
        <f t="shared" si="32"/>
        <v>0.1238243244987835</v>
      </c>
      <c r="F65" s="10">
        <f t="shared" si="32"/>
        <v>0.10534653965585711</v>
      </c>
      <c r="G65" s="38">
        <f t="shared" si="32"/>
        <v>0.11368541698262274</v>
      </c>
      <c r="H65" s="50">
        <f t="shared" si="32"/>
        <v>0.11822032647620144</v>
      </c>
      <c r="I65" s="38">
        <f t="shared" si="32"/>
        <v>0.11090239518969502</v>
      </c>
      <c r="J65" s="10">
        <f t="shared" si="32"/>
        <v>0.10515389660758974</v>
      </c>
      <c r="K65" s="38">
        <f t="shared" si="32"/>
        <v>0.10069707152972354</v>
      </c>
      <c r="L65" s="10">
        <f t="shared" si="32"/>
        <v>0.11233029209667279</v>
      </c>
      <c r="M65" s="38">
        <f t="shared" si="32"/>
        <v>0.12573661517557302</v>
      </c>
      <c r="N65" s="10">
        <f t="shared" si="32"/>
        <v>0.11929487614860186</v>
      </c>
      <c r="O65" s="38">
        <f t="shared" si="32"/>
        <v>0.13134224635720895</v>
      </c>
      <c r="P65" s="50">
        <f t="shared" si="32"/>
        <v>0.13363949924356733</v>
      </c>
      <c r="Q65" s="38">
        <f t="shared" si="32"/>
        <v>0.11944083018758656</v>
      </c>
      <c r="R65" s="10">
        <f t="shared" si="32"/>
        <v>0.12152813362070275</v>
      </c>
      <c r="S65" s="38">
        <f t="shared" si="32"/>
        <v>0.11519590757364891</v>
      </c>
      <c r="T65" s="10">
        <f t="shared" si="32"/>
        <v>0.11324575987482167</v>
      </c>
      <c r="U65" s="38">
        <f t="shared" si="32"/>
        <v>0.14661478889929838</v>
      </c>
      <c r="V65" s="10">
        <f t="shared" si="32"/>
        <v>0.13732114848554092</v>
      </c>
      <c r="W65" s="38">
        <f t="shared" si="32"/>
        <v>0.14036873865599583</v>
      </c>
      <c r="X65" s="10">
        <f t="shared" si="32"/>
        <v>0.132259556330559</v>
      </c>
      <c r="Y65" s="38">
        <f t="shared" si="32"/>
        <v>0.12893765358501405</v>
      </c>
      <c r="Z65" s="50">
        <f t="shared" si="32"/>
        <v>0.11914763528328584</v>
      </c>
      <c r="AA65" s="38">
        <f t="shared" si="32"/>
        <v>0.13869121110205399</v>
      </c>
      <c r="AB65" s="10">
        <f t="shared" si="32"/>
        <v>0.12959328549432425</v>
      </c>
      <c r="AC65" s="38">
        <f t="shared" si="32"/>
        <v>0.12867047661032574</v>
      </c>
      <c r="AD65" s="10">
        <f t="shared" si="32"/>
        <v>0.10538622686480309</v>
      </c>
      <c r="AE65" s="38">
        <f t="shared" si="32"/>
        <v>0.13370303524330882</v>
      </c>
      <c r="AF65" s="10">
        <f t="shared" si="32"/>
        <v>6.6718687988268924E-2</v>
      </c>
      <c r="AG65" s="38">
        <f t="shared" si="32"/>
        <v>0.11852453483181792</v>
      </c>
      <c r="AH65" s="50">
        <f t="shared" si="32"/>
        <v>5.6640527310867606E-2</v>
      </c>
      <c r="AI65" s="38">
        <f t="shared" si="32"/>
        <v>0.12703318709380126</v>
      </c>
      <c r="AJ65" s="10">
        <f t="shared" si="32"/>
        <v>7.6272790212486327E-2</v>
      </c>
      <c r="AK65" s="38">
        <f t="shared" si="32"/>
        <v>0.13289538626216438</v>
      </c>
      <c r="AL65" s="10">
        <f t="shared" si="32"/>
        <v>0.10296657668375217</v>
      </c>
      <c r="AM65" s="38">
        <f t="shared" si="32"/>
        <v>0.12414037199459173</v>
      </c>
      <c r="AN65" s="10">
        <f t="shared" si="32"/>
        <v>0.10826261900134973</v>
      </c>
    </row>
  </sheetData>
  <mergeCells count="36">
    <mergeCell ref="C1:I1"/>
    <mergeCell ref="K1:S1"/>
    <mergeCell ref="U1:AA1"/>
    <mergeCell ref="AC1:AN1"/>
    <mergeCell ref="A2:B2"/>
    <mergeCell ref="A21:B21"/>
    <mergeCell ref="W3:X3"/>
    <mergeCell ref="Y3:Z3"/>
    <mergeCell ref="AA3:AB3"/>
    <mergeCell ref="AC3:AD3"/>
    <mergeCell ref="K3:L3"/>
    <mergeCell ref="M3:N3"/>
    <mergeCell ref="O3:P3"/>
    <mergeCell ref="Q3:R3"/>
    <mergeCell ref="S3:T3"/>
    <mergeCell ref="U3:V3"/>
    <mergeCell ref="A3:B3"/>
    <mergeCell ref="C3:D3"/>
    <mergeCell ref="E3:F3"/>
    <mergeCell ref="G3:H3"/>
    <mergeCell ref="I3:J3"/>
    <mergeCell ref="AI3:AJ3"/>
    <mergeCell ref="AK3:AL3"/>
    <mergeCell ref="AM3:AN3"/>
    <mergeCell ref="A4:B4"/>
    <mergeCell ref="A5:B5"/>
    <mergeCell ref="AE3:AF3"/>
    <mergeCell ref="AG3:AH3"/>
    <mergeCell ref="A64:B64"/>
    <mergeCell ref="A65:B65"/>
    <mergeCell ref="A22:B22"/>
    <mergeCell ref="A59:B59"/>
    <mergeCell ref="A60:B60"/>
    <mergeCell ref="A61:B61"/>
    <mergeCell ref="A62:B62"/>
    <mergeCell ref="A63:B63"/>
  </mergeCells>
  <phoneticPr fontId="3"/>
  <printOptions horizontalCentered="1"/>
  <pageMargins left="0.59055118110236227" right="0" top="0.51181102362204722" bottom="0.15748031496062992" header="0.59055118110236227" footer="0"/>
  <pageSetup paperSize="8" scale="51" orientation="landscape" r:id="rId1"/>
  <headerFooter alignWithMargins="0">
    <oddHeader xml:space="preserve">&amp;L&amp;D&amp;T&amp;C&amp;"ＭＳ Ｐゴシック,太字"&amp;20第22期　売上・粗利・経費　実績 計画&amp;R
</oddHeader>
    <oddFooter xml:space="preserve">&amp;R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N66"/>
  <sheetViews>
    <sheetView view="pageBreakPreview" zoomScale="60" zoomScaleNormal="55" workbookViewId="0">
      <pane xSplit="2" ySplit="1" topLeftCell="C2" activePane="bottomRight" state="frozen"/>
      <selection activeCell="X29" sqref="X29"/>
      <selection pane="topRight" activeCell="X29" sqref="X29"/>
      <selection pane="bottomLeft" activeCell="X29" sqref="X29"/>
      <selection pane="bottomRight" sqref="A1:XFD1048576"/>
    </sheetView>
  </sheetViews>
  <sheetFormatPr defaultRowHeight="14.25" outlineLevelCol="2" x14ac:dyDescent="0.15"/>
  <cols>
    <col min="1" max="1" width="9" style="2" customWidth="1"/>
    <col min="2" max="2" width="18.625" style="2" customWidth="1"/>
    <col min="3" max="3" width="13.25" style="2" customWidth="1" outlineLevel="2"/>
    <col min="4" max="4" width="13.25" style="2" customWidth="1" outlineLevel="1"/>
    <col min="5" max="5" width="13.25" style="2" customWidth="1" outlineLevel="2"/>
    <col min="6" max="6" width="13.25" style="2" customWidth="1" outlineLevel="1"/>
    <col min="7" max="7" width="13.25" style="2" customWidth="1" outlineLevel="2"/>
    <col min="8" max="8" width="13.25" style="2" customWidth="1" outlineLevel="1"/>
    <col min="9" max="10" width="13.25" style="2" hidden="1" customWidth="1"/>
    <col min="11" max="11" width="13.25" style="2" customWidth="1" outlineLevel="2"/>
    <col min="12" max="12" width="13.25" style="2" customWidth="1" outlineLevel="1"/>
    <col min="13" max="13" width="13.25" style="2" customWidth="1" outlineLevel="2"/>
    <col min="14" max="14" width="13.25" style="2" customWidth="1" outlineLevel="1"/>
    <col min="15" max="15" width="13.25" style="2" customWidth="1" outlineLevel="2"/>
    <col min="16" max="16" width="13.25" style="2" customWidth="1" outlineLevel="1"/>
    <col min="17" max="20" width="13.25" style="2" hidden="1" customWidth="1"/>
    <col min="21" max="21" width="13.25" style="2" customWidth="1" outlineLevel="2"/>
    <col min="22" max="22" width="13.25" style="2" customWidth="1" outlineLevel="1"/>
    <col min="23" max="23" width="13.25" style="2" customWidth="1" outlineLevel="2"/>
    <col min="24" max="24" width="13.25" style="2" customWidth="1" outlineLevel="1"/>
    <col min="25" max="25" width="13.25" style="2" customWidth="1" outlineLevel="2"/>
    <col min="26" max="26" width="13.25" style="2" customWidth="1" outlineLevel="1"/>
    <col min="27" max="28" width="13.25" style="2" hidden="1" customWidth="1"/>
    <col min="29" max="29" width="13.25" style="2" customWidth="1" outlineLevel="2"/>
    <col min="30" max="30" width="13.25" style="2" customWidth="1" outlineLevel="1"/>
    <col min="31" max="31" width="13.25" style="2" customWidth="1" outlineLevel="2"/>
    <col min="32" max="32" width="13.25" style="2" customWidth="1" outlineLevel="1"/>
    <col min="33" max="33" width="13.25" style="2" customWidth="1" outlineLevel="2"/>
    <col min="34" max="34" width="13.25" style="2" customWidth="1" outlineLevel="1"/>
    <col min="35" max="38" width="13.25" style="2" hidden="1" customWidth="1"/>
    <col min="39" max="40" width="13.25" style="2" customWidth="1"/>
    <col min="41" max="41" width="9" style="2" customWidth="1"/>
    <col min="42" max="274" width="9" style="2"/>
    <col min="275" max="275" width="9" style="2" customWidth="1"/>
    <col min="276" max="276" width="18.625" style="2" customWidth="1"/>
    <col min="277" max="277" width="0" style="2" hidden="1" customWidth="1"/>
    <col min="278" max="296" width="13.25" style="2" customWidth="1"/>
    <col min="297" max="530" width="9" style="2"/>
    <col min="531" max="531" width="9" style="2" customWidth="1"/>
    <col min="532" max="532" width="18.625" style="2" customWidth="1"/>
    <col min="533" max="533" width="0" style="2" hidden="1" customWidth="1"/>
    <col min="534" max="552" width="13.25" style="2" customWidth="1"/>
    <col min="553" max="786" width="9" style="2"/>
    <col min="787" max="787" width="9" style="2" customWidth="1"/>
    <col min="788" max="788" width="18.625" style="2" customWidth="1"/>
    <col min="789" max="789" width="0" style="2" hidden="1" customWidth="1"/>
    <col min="790" max="808" width="13.25" style="2" customWidth="1"/>
    <col min="809" max="1042" width="9" style="2"/>
    <col min="1043" max="1043" width="9" style="2" customWidth="1"/>
    <col min="1044" max="1044" width="18.625" style="2" customWidth="1"/>
    <col min="1045" max="1045" width="0" style="2" hidden="1" customWidth="1"/>
    <col min="1046" max="1064" width="13.25" style="2" customWidth="1"/>
    <col min="1065" max="1298" width="9" style="2"/>
    <col min="1299" max="1299" width="9" style="2" customWidth="1"/>
    <col min="1300" max="1300" width="18.625" style="2" customWidth="1"/>
    <col min="1301" max="1301" width="0" style="2" hidden="1" customWidth="1"/>
    <col min="1302" max="1320" width="13.25" style="2" customWidth="1"/>
    <col min="1321" max="1554" width="9" style="2"/>
    <col min="1555" max="1555" width="9" style="2" customWidth="1"/>
    <col min="1556" max="1556" width="18.625" style="2" customWidth="1"/>
    <col min="1557" max="1557" width="0" style="2" hidden="1" customWidth="1"/>
    <col min="1558" max="1576" width="13.25" style="2" customWidth="1"/>
    <col min="1577" max="1810" width="9" style="2"/>
    <col min="1811" max="1811" width="9" style="2" customWidth="1"/>
    <col min="1812" max="1812" width="18.625" style="2" customWidth="1"/>
    <col min="1813" max="1813" width="0" style="2" hidden="1" customWidth="1"/>
    <col min="1814" max="1832" width="13.25" style="2" customWidth="1"/>
    <col min="1833" max="2066" width="9" style="2"/>
    <col min="2067" max="2067" width="9" style="2" customWidth="1"/>
    <col min="2068" max="2068" width="18.625" style="2" customWidth="1"/>
    <col min="2069" max="2069" width="0" style="2" hidden="1" customWidth="1"/>
    <col min="2070" max="2088" width="13.25" style="2" customWidth="1"/>
    <col min="2089" max="2322" width="9" style="2"/>
    <col min="2323" max="2323" width="9" style="2" customWidth="1"/>
    <col min="2324" max="2324" width="18.625" style="2" customWidth="1"/>
    <col min="2325" max="2325" width="0" style="2" hidden="1" customWidth="1"/>
    <col min="2326" max="2344" width="13.25" style="2" customWidth="1"/>
    <col min="2345" max="2578" width="9" style="2"/>
    <col min="2579" max="2579" width="9" style="2" customWidth="1"/>
    <col min="2580" max="2580" width="18.625" style="2" customWidth="1"/>
    <col min="2581" max="2581" width="0" style="2" hidden="1" customWidth="1"/>
    <col min="2582" max="2600" width="13.25" style="2" customWidth="1"/>
    <col min="2601" max="2834" width="9" style="2"/>
    <col min="2835" max="2835" width="9" style="2" customWidth="1"/>
    <col min="2836" max="2836" width="18.625" style="2" customWidth="1"/>
    <col min="2837" max="2837" width="0" style="2" hidden="1" customWidth="1"/>
    <col min="2838" max="2856" width="13.25" style="2" customWidth="1"/>
    <col min="2857" max="3090" width="9" style="2"/>
    <col min="3091" max="3091" width="9" style="2" customWidth="1"/>
    <col min="3092" max="3092" width="18.625" style="2" customWidth="1"/>
    <col min="3093" max="3093" width="0" style="2" hidden="1" customWidth="1"/>
    <col min="3094" max="3112" width="13.25" style="2" customWidth="1"/>
    <col min="3113" max="3346" width="9" style="2"/>
    <col min="3347" max="3347" width="9" style="2" customWidth="1"/>
    <col min="3348" max="3348" width="18.625" style="2" customWidth="1"/>
    <col min="3349" max="3349" width="0" style="2" hidden="1" customWidth="1"/>
    <col min="3350" max="3368" width="13.25" style="2" customWidth="1"/>
    <col min="3369" max="3602" width="9" style="2"/>
    <col min="3603" max="3603" width="9" style="2" customWidth="1"/>
    <col min="3604" max="3604" width="18.625" style="2" customWidth="1"/>
    <col min="3605" max="3605" width="0" style="2" hidden="1" customWidth="1"/>
    <col min="3606" max="3624" width="13.25" style="2" customWidth="1"/>
    <col min="3625" max="3858" width="9" style="2"/>
    <col min="3859" max="3859" width="9" style="2" customWidth="1"/>
    <col min="3860" max="3860" width="18.625" style="2" customWidth="1"/>
    <col min="3861" max="3861" width="0" style="2" hidden="1" customWidth="1"/>
    <col min="3862" max="3880" width="13.25" style="2" customWidth="1"/>
    <col min="3881" max="4114" width="9" style="2"/>
    <col min="4115" max="4115" width="9" style="2" customWidth="1"/>
    <col min="4116" max="4116" width="18.625" style="2" customWidth="1"/>
    <col min="4117" max="4117" width="0" style="2" hidden="1" customWidth="1"/>
    <col min="4118" max="4136" width="13.25" style="2" customWidth="1"/>
    <col min="4137" max="4370" width="9" style="2"/>
    <col min="4371" max="4371" width="9" style="2" customWidth="1"/>
    <col min="4372" max="4372" width="18.625" style="2" customWidth="1"/>
    <col min="4373" max="4373" width="0" style="2" hidden="1" customWidth="1"/>
    <col min="4374" max="4392" width="13.25" style="2" customWidth="1"/>
    <col min="4393" max="4626" width="9" style="2"/>
    <col min="4627" max="4627" width="9" style="2" customWidth="1"/>
    <col min="4628" max="4628" width="18.625" style="2" customWidth="1"/>
    <col min="4629" max="4629" width="0" style="2" hidden="1" customWidth="1"/>
    <col min="4630" max="4648" width="13.25" style="2" customWidth="1"/>
    <col min="4649" max="4882" width="9" style="2"/>
    <col min="4883" max="4883" width="9" style="2" customWidth="1"/>
    <col min="4884" max="4884" width="18.625" style="2" customWidth="1"/>
    <col min="4885" max="4885" width="0" style="2" hidden="1" customWidth="1"/>
    <col min="4886" max="4904" width="13.25" style="2" customWidth="1"/>
    <col min="4905" max="5138" width="9" style="2"/>
    <col min="5139" max="5139" width="9" style="2" customWidth="1"/>
    <col min="5140" max="5140" width="18.625" style="2" customWidth="1"/>
    <col min="5141" max="5141" width="0" style="2" hidden="1" customWidth="1"/>
    <col min="5142" max="5160" width="13.25" style="2" customWidth="1"/>
    <col min="5161" max="5394" width="9" style="2"/>
    <col min="5395" max="5395" width="9" style="2" customWidth="1"/>
    <col min="5396" max="5396" width="18.625" style="2" customWidth="1"/>
    <col min="5397" max="5397" width="0" style="2" hidden="1" customWidth="1"/>
    <col min="5398" max="5416" width="13.25" style="2" customWidth="1"/>
    <col min="5417" max="5650" width="9" style="2"/>
    <col min="5651" max="5651" width="9" style="2" customWidth="1"/>
    <col min="5652" max="5652" width="18.625" style="2" customWidth="1"/>
    <col min="5653" max="5653" width="0" style="2" hidden="1" customWidth="1"/>
    <col min="5654" max="5672" width="13.25" style="2" customWidth="1"/>
    <col min="5673" max="5906" width="9" style="2"/>
    <col min="5907" max="5907" width="9" style="2" customWidth="1"/>
    <col min="5908" max="5908" width="18.625" style="2" customWidth="1"/>
    <col min="5909" max="5909" width="0" style="2" hidden="1" customWidth="1"/>
    <col min="5910" max="5928" width="13.25" style="2" customWidth="1"/>
    <col min="5929" max="6162" width="9" style="2"/>
    <col min="6163" max="6163" width="9" style="2" customWidth="1"/>
    <col min="6164" max="6164" width="18.625" style="2" customWidth="1"/>
    <col min="6165" max="6165" width="0" style="2" hidden="1" customWidth="1"/>
    <col min="6166" max="6184" width="13.25" style="2" customWidth="1"/>
    <col min="6185" max="6418" width="9" style="2"/>
    <col min="6419" max="6419" width="9" style="2" customWidth="1"/>
    <col min="6420" max="6420" width="18.625" style="2" customWidth="1"/>
    <col min="6421" max="6421" width="0" style="2" hidden="1" customWidth="1"/>
    <col min="6422" max="6440" width="13.25" style="2" customWidth="1"/>
    <col min="6441" max="6674" width="9" style="2"/>
    <col min="6675" max="6675" width="9" style="2" customWidth="1"/>
    <col min="6676" max="6676" width="18.625" style="2" customWidth="1"/>
    <col min="6677" max="6677" width="0" style="2" hidden="1" customWidth="1"/>
    <col min="6678" max="6696" width="13.25" style="2" customWidth="1"/>
    <col min="6697" max="6930" width="9" style="2"/>
    <col min="6931" max="6931" width="9" style="2" customWidth="1"/>
    <col min="6932" max="6932" width="18.625" style="2" customWidth="1"/>
    <col min="6933" max="6933" width="0" style="2" hidden="1" customWidth="1"/>
    <col min="6934" max="6952" width="13.25" style="2" customWidth="1"/>
    <col min="6953" max="7186" width="9" style="2"/>
    <col min="7187" max="7187" width="9" style="2" customWidth="1"/>
    <col min="7188" max="7188" width="18.625" style="2" customWidth="1"/>
    <col min="7189" max="7189" width="0" style="2" hidden="1" customWidth="1"/>
    <col min="7190" max="7208" width="13.25" style="2" customWidth="1"/>
    <col min="7209" max="7442" width="9" style="2"/>
    <col min="7443" max="7443" width="9" style="2" customWidth="1"/>
    <col min="7444" max="7444" width="18.625" style="2" customWidth="1"/>
    <col min="7445" max="7445" width="0" style="2" hidden="1" customWidth="1"/>
    <col min="7446" max="7464" width="13.25" style="2" customWidth="1"/>
    <col min="7465" max="7698" width="9" style="2"/>
    <col min="7699" max="7699" width="9" style="2" customWidth="1"/>
    <col min="7700" max="7700" width="18.625" style="2" customWidth="1"/>
    <col min="7701" max="7701" width="0" style="2" hidden="1" customWidth="1"/>
    <col min="7702" max="7720" width="13.25" style="2" customWidth="1"/>
    <col min="7721" max="7954" width="9" style="2"/>
    <col min="7955" max="7955" width="9" style="2" customWidth="1"/>
    <col min="7956" max="7956" width="18.625" style="2" customWidth="1"/>
    <col min="7957" max="7957" width="0" style="2" hidden="1" customWidth="1"/>
    <col min="7958" max="7976" width="13.25" style="2" customWidth="1"/>
    <col min="7977" max="8210" width="9" style="2"/>
    <col min="8211" max="8211" width="9" style="2" customWidth="1"/>
    <col min="8212" max="8212" width="18.625" style="2" customWidth="1"/>
    <col min="8213" max="8213" width="0" style="2" hidden="1" customWidth="1"/>
    <col min="8214" max="8232" width="13.25" style="2" customWidth="1"/>
    <col min="8233" max="8466" width="9" style="2"/>
    <col min="8467" max="8467" width="9" style="2" customWidth="1"/>
    <col min="8468" max="8468" width="18.625" style="2" customWidth="1"/>
    <col min="8469" max="8469" width="0" style="2" hidden="1" customWidth="1"/>
    <col min="8470" max="8488" width="13.25" style="2" customWidth="1"/>
    <col min="8489" max="8722" width="9" style="2"/>
    <col min="8723" max="8723" width="9" style="2" customWidth="1"/>
    <col min="8724" max="8724" width="18.625" style="2" customWidth="1"/>
    <col min="8725" max="8725" width="0" style="2" hidden="1" customWidth="1"/>
    <col min="8726" max="8744" width="13.25" style="2" customWidth="1"/>
    <col min="8745" max="8978" width="9" style="2"/>
    <col min="8979" max="8979" width="9" style="2" customWidth="1"/>
    <col min="8980" max="8980" width="18.625" style="2" customWidth="1"/>
    <col min="8981" max="8981" width="0" style="2" hidden="1" customWidth="1"/>
    <col min="8982" max="9000" width="13.25" style="2" customWidth="1"/>
    <col min="9001" max="9234" width="9" style="2"/>
    <col min="9235" max="9235" width="9" style="2" customWidth="1"/>
    <col min="9236" max="9236" width="18.625" style="2" customWidth="1"/>
    <col min="9237" max="9237" width="0" style="2" hidden="1" customWidth="1"/>
    <col min="9238" max="9256" width="13.25" style="2" customWidth="1"/>
    <col min="9257" max="9490" width="9" style="2"/>
    <col min="9491" max="9491" width="9" style="2" customWidth="1"/>
    <col min="9492" max="9492" width="18.625" style="2" customWidth="1"/>
    <col min="9493" max="9493" width="0" style="2" hidden="1" customWidth="1"/>
    <col min="9494" max="9512" width="13.25" style="2" customWidth="1"/>
    <col min="9513" max="9746" width="9" style="2"/>
    <col min="9747" max="9747" width="9" style="2" customWidth="1"/>
    <col min="9748" max="9748" width="18.625" style="2" customWidth="1"/>
    <col min="9749" max="9749" width="0" style="2" hidden="1" customWidth="1"/>
    <col min="9750" max="9768" width="13.25" style="2" customWidth="1"/>
    <col min="9769" max="10002" width="9" style="2"/>
    <col min="10003" max="10003" width="9" style="2" customWidth="1"/>
    <col min="10004" max="10004" width="18.625" style="2" customWidth="1"/>
    <col min="10005" max="10005" width="0" style="2" hidden="1" customWidth="1"/>
    <col min="10006" max="10024" width="13.25" style="2" customWidth="1"/>
    <col min="10025" max="10258" width="9" style="2"/>
    <col min="10259" max="10259" width="9" style="2" customWidth="1"/>
    <col min="10260" max="10260" width="18.625" style="2" customWidth="1"/>
    <col min="10261" max="10261" width="0" style="2" hidden="1" customWidth="1"/>
    <col min="10262" max="10280" width="13.25" style="2" customWidth="1"/>
    <col min="10281" max="10514" width="9" style="2"/>
    <col min="10515" max="10515" width="9" style="2" customWidth="1"/>
    <col min="10516" max="10516" width="18.625" style="2" customWidth="1"/>
    <col min="10517" max="10517" width="0" style="2" hidden="1" customWidth="1"/>
    <col min="10518" max="10536" width="13.25" style="2" customWidth="1"/>
    <col min="10537" max="10770" width="9" style="2"/>
    <col min="10771" max="10771" width="9" style="2" customWidth="1"/>
    <col min="10772" max="10772" width="18.625" style="2" customWidth="1"/>
    <col min="10773" max="10773" width="0" style="2" hidden="1" customWidth="1"/>
    <col min="10774" max="10792" width="13.25" style="2" customWidth="1"/>
    <col min="10793" max="11026" width="9" style="2"/>
    <col min="11027" max="11027" width="9" style="2" customWidth="1"/>
    <col min="11028" max="11028" width="18.625" style="2" customWidth="1"/>
    <col min="11029" max="11029" width="0" style="2" hidden="1" customWidth="1"/>
    <col min="11030" max="11048" width="13.25" style="2" customWidth="1"/>
    <col min="11049" max="11282" width="9" style="2"/>
    <col min="11283" max="11283" width="9" style="2" customWidth="1"/>
    <col min="11284" max="11284" width="18.625" style="2" customWidth="1"/>
    <col min="11285" max="11285" width="0" style="2" hidden="1" customWidth="1"/>
    <col min="11286" max="11304" width="13.25" style="2" customWidth="1"/>
    <col min="11305" max="11538" width="9" style="2"/>
    <col min="11539" max="11539" width="9" style="2" customWidth="1"/>
    <col min="11540" max="11540" width="18.625" style="2" customWidth="1"/>
    <col min="11541" max="11541" width="0" style="2" hidden="1" customWidth="1"/>
    <col min="11542" max="11560" width="13.25" style="2" customWidth="1"/>
    <col min="11561" max="11794" width="9" style="2"/>
    <col min="11795" max="11795" width="9" style="2" customWidth="1"/>
    <col min="11796" max="11796" width="18.625" style="2" customWidth="1"/>
    <col min="11797" max="11797" width="0" style="2" hidden="1" customWidth="1"/>
    <col min="11798" max="11816" width="13.25" style="2" customWidth="1"/>
    <col min="11817" max="12050" width="9" style="2"/>
    <col min="12051" max="12051" width="9" style="2" customWidth="1"/>
    <col min="12052" max="12052" width="18.625" style="2" customWidth="1"/>
    <col min="12053" max="12053" width="0" style="2" hidden="1" customWidth="1"/>
    <col min="12054" max="12072" width="13.25" style="2" customWidth="1"/>
    <col min="12073" max="12306" width="9" style="2"/>
    <col min="12307" max="12307" width="9" style="2" customWidth="1"/>
    <col min="12308" max="12308" width="18.625" style="2" customWidth="1"/>
    <col min="12309" max="12309" width="0" style="2" hidden="1" customWidth="1"/>
    <col min="12310" max="12328" width="13.25" style="2" customWidth="1"/>
    <col min="12329" max="12562" width="9" style="2"/>
    <col min="12563" max="12563" width="9" style="2" customWidth="1"/>
    <col min="12564" max="12564" width="18.625" style="2" customWidth="1"/>
    <col min="12565" max="12565" width="0" style="2" hidden="1" customWidth="1"/>
    <col min="12566" max="12584" width="13.25" style="2" customWidth="1"/>
    <col min="12585" max="12818" width="9" style="2"/>
    <col min="12819" max="12819" width="9" style="2" customWidth="1"/>
    <col min="12820" max="12820" width="18.625" style="2" customWidth="1"/>
    <col min="12821" max="12821" width="0" style="2" hidden="1" customWidth="1"/>
    <col min="12822" max="12840" width="13.25" style="2" customWidth="1"/>
    <col min="12841" max="13074" width="9" style="2"/>
    <col min="13075" max="13075" width="9" style="2" customWidth="1"/>
    <col min="13076" max="13076" width="18.625" style="2" customWidth="1"/>
    <col min="13077" max="13077" width="0" style="2" hidden="1" customWidth="1"/>
    <col min="13078" max="13096" width="13.25" style="2" customWidth="1"/>
    <col min="13097" max="13330" width="9" style="2"/>
    <col min="13331" max="13331" width="9" style="2" customWidth="1"/>
    <col min="13332" max="13332" width="18.625" style="2" customWidth="1"/>
    <col min="13333" max="13333" width="0" style="2" hidden="1" customWidth="1"/>
    <col min="13334" max="13352" width="13.25" style="2" customWidth="1"/>
    <col min="13353" max="13586" width="9" style="2"/>
    <col min="13587" max="13587" width="9" style="2" customWidth="1"/>
    <col min="13588" max="13588" width="18.625" style="2" customWidth="1"/>
    <col min="13589" max="13589" width="0" style="2" hidden="1" customWidth="1"/>
    <col min="13590" max="13608" width="13.25" style="2" customWidth="1"/>
    <col min="13609" max="13842" width="9" style="2"/>
    <col min="13843" max="13843" width="9" style="2" customWidth="1"/>
    <col min="13844" max="13844" width="18.625" style="2" customWidth="1"/>
    <col min="13845" max="13845" width="0" style="2" hidden="1" customWidth="1"/>
    <col min="13846" max="13864" width="13.25" style="2" customWidth="1"/>
    <col min="13865" max="14098" width="9" style="2"/>
    <col min="14099" max="14099" width="9" style="2" customWidth="1"/>
    <col min="14100" max="14100" width="18.625" style="2" customWidth="1"/>
    <col min="14101" max="14101" width="0" style="2" hidden="1" customWidth="1"/>
    <col min="14102" max="14120" width="13.25" style="2" customWidth="1"/>
    <col min="14121" max="14354" width="9" style="2"/>
    <col min="14355" max="14355" width="9" style="2" customWidth="1"/>
    <col min="14356" max="14356" width="18.625" style="2" customWidth="1"/>
    <col min="14357" max="14357" width="0" style="2" hidden="1" customWidth="1"/>
    <col min="14358" max="14376" width="13.25" style="2" customWidth="1"/>
    <col min="14377" max="14610" width="9" style="2"/>
    <col min="14611" max="14611" width="9" style="2" customWidth="1"/>
    <col min="14612" max="14612" width="18.625" style="2" customWidth="1"/>
    <col min="14613" max="14613" width="0" style="2" hidden="1" customWidth="1"/>
    <col min="14614" max="14632" width="13.25" style="2" customWidth="1"/>
    <col min="14633" max="14866" width="9" style="2"/>
    <col min="14867" max="14867" width="9" style="2" customWidth="1"/>
    <col min="14868" max="14868" width="18.625" style="2" customWidth="1"/>
    <col min="14869" max="14869" width="0" style="2" hidden="1" customWidth="1"/>
    <col min="14870" max="14888" width="13.25" style="2" customWidth="1"/>
    <col min="14889" max="15122" width="9" style="2"/>
    <col min="15123" max="15123" width="9" style="2" customWidth="1"/>
    <col min="15124" max="15124" width="18.625" style="2" customWidth="1"/>
    <col min="15125" max="15125" width="0" style="2" hidden="1" customWidth="1"/>
    <col min="15126" max="15144" width="13.25" style="2" customWidth="1"/>
    <col min="15145" max="15378" width="9" style="2"/>
    <col min="15379" max="15379" width="9" style="2" customWidth="1"/>
    <col min="15380" max="15380" width="18.625" style="2" customWidth="1"/>
    <col min="15381" max="15381" width="0" style="2" hidden="1" customWidth="1"/>
    <col min="15382" max="15400" width="13.25" style="2" customWidth="1"/>
    <col min="15401" max="15634" width="9" style="2"/>
    <col min="15635" max="15635" width="9" style="2" customWidth="1"/>
    <col min="15636" max="15636" width="18.625" style="2" customWidth="1"/>
    <col min="15637" max="15637" width="0" style="2" hidden="1" customWidth="1"/>
    <col min="15638" max="15656" width="13.25" style="2" customWidth="1"/>
    <col min="15657" max="15890" width="9" style="2"/>
    <col min="15891" max="15891" width="9" style="2" customWidth="1"/>
    <col min="15892" max="15892" width="18.625" style="2" customWidth="1"/>
    <col min="15893" max="15893" width="0" style="2" hidden="1" customWidth="1"/>
    <col min="15894" max="15912" width="13.25" style="2" customWidth="1"/>
    <col min="15913" max="16146" width="9" style="2"/>
    <col min="16147" max="16147" width="9" style="2" customWidth="1"/>
    <col min="16148" max="16148" width="18.625" style="2" customWidth="1"/>
    <col min="16149" max="16149" width="0" style="2" hidden="1" customWidth="1"/>
    <col min="16150" max="16168" width="13.25" style="2" customWidth="1"/>
    <col min="16169" max="16384" width="9" style="2"/>
  </cols>
  <sheetData>
    <row r="1" spans="1:40" ht="21" x14ac:dyDescent="0.2">
      <c r="A1" s="1"/>
      <c r="B1" s="1"/>
      <c r="C1" s="235"/>
      <c r="D1" s="235"/>
      <c r="E1" s="235"/>
      <c r="F1" s="235"/>
      <c r="G1" s="235"/>
      <c r="H1" s="235"/>
      <c r="I1" s="235"/>
      <c r="J1" s="95"/>
      <c r="K1" s="235"/>
      <c r="L1" s="235"/>
      <c r="M1" s="235"/>
      <c r="N1" s="235"/>
      <c r="O1" s="235"/>
      <c r="P1" s="235"/>
      <c r="Q1" s="235"/>
      <c r="R1" s="235"/>
      <c r="S1" s="235"/>
      <c r="T1" s="95"/>
      <c r="U1" s="235"/>
      <c r="V1" s="235"/>
      <c r="W1" s="235"/>
      <c r="X1" s="235"/>
      <c r="Y1" s="235"/>
      <c r="Z1" s="235"/>
      <c r="AA1" s="235"/>
      <c r="AB1" s="9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</row>
    <row r="2" spans="1:40" ht="19.5" thickBot="1" x14ac:dyDescent="0.2">
      <c r="A2" s="236" t="s">
        <v>167</v>
      </c>
      <c r="B2" s="236"/>
    </row>
    <row r="3" spans="1:40" ht="21" customHeight="1" thickTop="1" thickBot="1" x14ac:dyDescent="0.2">
      <c r="A3" s="220" t="s">
        <v>0</v>
      </c>
      <c r="B3" s="221"/>
      <c r="C3" s="222" t="s">
        <v>1</v>
      </c>
      <c r="D3" s="223"/>
      <c r="E3" s="222" t="s">
        <v>2</v>
      </c>
      <c r="F3" s="223"/>
      <c r="G3" s="222" t="s">
        <v>3</v>
      </c>
      <c r="H3" s="223"/>
      <c r="I3" s="224" t="s">
        <v>4</v>
      </c>
      <c r="J3" s="225"/>
      <c r="K3" s="234" t="s">
        <v>5</v>
      </c>
      <c r="L3" s="223"/>
      <c r="M3" s="222" t="s">
        <v>6</v>
      </c>
      <c r="N3" s="223"/>
      <c r="O3" s="222" t="s">
        <v>7</v>
      </c>
      <c r="P3" s="223"/>
      <c r="Q3" s="216" t="s">
        <v>8</v>
      </c>
      <c r="R3" s="217"/>
      <c r="S3" s="226" t="s">
        <v>9</v>
      </c>
      <c r="T3" s="227"/>
      <c r="U3" s="234" t="s">
        <v>10</v>
      </c>
      <c r="V3" s="223"/>
      <c r="W3" s="222" t="s">
        <v>11</v>
      </c>
      <c r="X3" s="223"/>
      <c r="Y3" s="222" t="s">
        <v>12</v>
      </c>
      <c r="Z3" s="223"/>
      <c r="AA3" s="216" t="s">
        <v>13</v>
      </c>
      <c r="AB3" s="217"/>
      <c r="AC3" s="234" t="s">
        <v>14</v>
      </c>
      <c r="AD3" s="223"/>
      <c r="AE3" s="222" t="s">
        <v>15</v>
      </c>
      <c r="AF3" s="223"/>
      <c r="AG3" s="222" t="s">
        <v>16</v>
      </c>
      <c r="AH3" s="223"/>
      <c r="AI3" s="216" t="s">
        <v>17</v>
      </c>
      <c r="AJ3" s="217"/>
      <c r="AK3" s="226" t="s">
        <v>18</v>
      </c>
      <c r="AL3" s="227"/>
      <c r="AM3" s="228" t="s">
        <v>19</v>
      </c>
      <c r="AN3" s="229"/>
    </row>
    <row r="4" spans="1:40" ht="21" customHeight="1" thickTop="1" thickBot="1" x14ac:dyDescent="0.2">
      <c r="A4" s="230" t="s">
        <v>0</v>
      </c>
      <c r="B4" s="231"/>
      <c r="C4" s="30" t="s">
        <v>20</v>
      </c>
      <c r="D4" s="94" t="s">
        <v>83</v>
      </c>
      <c r="E4" s="30" t="s">
        <v>20</v>
      </c>
      <c r="F4" s="94" t="s">
        <v>83</v>
      </c>
      <c r="G4" s="30" t="s">
        <v>20</v>
      </c>
      <c r="H4" s="183" t="s">
        <v>83</v>
      </c>
      <c r="I4" s="30" t="s">
        <v>20</v>
      </c>
      <c r="J4" s="183" t="s">
        <v>83</v>
      </c>
      <c r="K4" s="56" t="s">
        <v>20</v>
      </c>
      <c r="L4" s="94" t="s">
        <v>83</v>
      </c>
      <c r="M4" s="30" t="s">
        <v>20</v>
      </c>
      <c r="N4" s="94" t="s">
        <v>83</v>
      </c>
      <c r="O4" s="30" t="s">
        <v>20</v>
      </c>
      <c r="P4" s="183" t="s">
        <v>83</v>
      </c>
      <c r="Q4" s="30" t="s">
        <v>20</v>
      </c>
      <c r="R4" s="94" t="s">
        <v>83</v>
      </c>
      <c r="S4" s="200" t="s">
        <v>20</v>
      </c>
      <c r="T4" s="183" t="s">
        <v>83</v>
      </c>
      <c r="U4" s="56" t="s">
        <v>20</v>
      </c>
      <c r="V4" s="94" t="s">
        <v>83</v>
      </c>
      <c r="W4" s="30" t="s">
        <v>20</v>
      </c>
      <c r="X4" s="94" t="s">
        <v>83</v>
      </c>
      <c r="Y4" s="30" t="s">
        <v>20</v>
      </c>
      <c r="Z4" s="94" t="s">
        <v>83</v>
      </c>
      <c r="AA4" s="200" t="s">
        <v>20</v>
      </c>
      <c r="AB4" s="183" t="s">
        <v>83</v>
      </c>
      <c r="AC4" s="56" t="s">
        <v>20</v>
      </c>
      <c r="AD4" s="94" t="s">
        <v>83</v>
      </c>
      <c r="AE4" s="30" t="s">
        <v>20</v>
      </c>
      <c r="AF4" s="94" t="s">
        <v>83</v>
      </c>
      <c r="AG4" s="30" t="s">
        <v>20</v>
      </c>
      <c r="AH4" s="94" t="s">
        <v>83</v>
      </c>
      <c r="AI4" s="200" t="s">
        <v>20</v>
      </c>
      <c r="AJ4" s="183" t="s">
        <v>83</v>
      </c>
      <c r="AK4" s="30" t="s">
        <v>20</v>
      </c>
      <c r="AL4" s="94" t="s">
        <v>83</v>
      </c>
      <c r="AM4" s="56" t="s">
        <v>20</v>
      </c>
      <c r="AN4" s="94" t="s">
        <v>83</v>
      </c>
    </row>
    <row r="5" spans="1:40" ht="20.25" customHeight="1" thickBot="1" x14ac:dyDescent="0.2">
      <c r="A5" s="232"/>
      <c r="B5" s="233"/>
      <c r="C5" s="31"/>
      <c r="D5" s="115"/>
      <c r="E5" s="31"/>
      <c r="F5" s="115"/>
      <c r="G5" s="31"/>
      <c r="H5" s="115"/>
      <c r="I5" s="41">
        <f>C5+E5+G5</f>
        <v>0</v>
      </c>
      <c r="J5" s="115">
        <f>D5+F5+H5</f>
        <v>0</v>
      </c>
      <c r="K5" s="57"/>
      <c r="L5" s="115"/>
      <c r="M5" s="31"/>
      <c r="N5" s="115"/>
      <c r="O5" s="31"/>
      <c r="P5" s="115">
        <v>18500000</v>
      </c>
      <c r="Q5" s="41">
        <f>K5+M5+O5</f>
        <v>0</v>
      </c>
      <c r="R5" s="115">
        <f>L5+N5+P5</f>
        <v>18500000</v>
      </c>
      <c r="S5" s="149">
        <f>I5+Q5</f>
        <v>0</v>
      </c>
      <c r="T5" s="115">
        <f>J5+R5</f>
        <v>18500000</v>
      </c>
      <c r="U5" s="57"/>
      <c r="V5" s="115"/>
      <c r="W5" s="31"/>
      <c r="X5" s="115"/>
      <c r="Y5" s="31"/>
      <c r="Z5" s="115"/>
      <c r="AA5" s="41">
        <f>U5+W5+Y5</f>
        <v>0</v>
      </c>
      <c r="AB5" s="115">
        <f>V5+X5+Z5</f>
        <v>0</v>
      </c>
      <c r="AC5" s="57"/>
      <c r="AD5" s="115"/>
      <c r="AE5" s="31"/>
      <c r="AF5" s="115"/>
      <c r="AG5" s="31"/>
      <c r="AH5" s="115"/>
      <c r="AI5" s="41">
        <f>AC5+AE5+AG5</f>
        <v>0</v>
      </c>
      <c r="AJ5" s="115">
        <f>AD5+AF5+AH5</f>
        <v>0</v>
      </c>
      <c r="AK5" s="149">
        <f>AA5+AI5</f>
        <v>0</v>
      </c>
      <c r="AL5" s="115">
        <f>AB5+AJ5</f>
        <v>0</v>
      </c>
      <c r="AM5" s="127">
        <f>S5+AK5</f>
        <v>0</v>
      </c>
      <c r="AN5" s="115">
        <f>T5+AL5</f>
        <v>18500000</v>
      </c>
    </row>
    <row r="6" spans="1:40" ht="20.25" customHeight="1" x14ac:dyDescent="0.15">
      <c r="A6" s="25" t="s">
        <v>76</v>
      </c>
      <c r="B6" s="29" t="s">
        <v>64</v>
      </c>
      <c r="C6" s="32"/>
      <c r="D6" s="9"/>
      <c r="E6" s="32"/>
      <c r="F6" s="9"/>
      <c r="G6" s="32"/>
      <c r="H6" s="9"/>
      <c r="I6" s="37">
        <f t="shared" ref="I6:J19" si="0">C6+E6+G6</f>
        <v>0</v>
      </c>
      <c r="J6" s="9">
        <f t="shared" si="0"/>
        <v>0</v>
      </c>
      <c r="K6" s="58"/>
      <c r="L6" s="9"/>
      <c r="M6" s="32"/>
      <c r="N6" s="9"/>
      <c r="O6" s="32"/>
      <c r="P6" s="9"/>
      <c r="Q6" s="37">
        <f t="shared" ref="Q6:R19" si="1">K6+M6+O6</f>
        <v>0</v>
      </c>
      <c r="R6" s="9">
        <f t="shared" si="1"/>
        <v>0</v>
      </c>
      <c r="S6" s="37">
        <f t="shared" ref="S6:T19" si="2">I6+Q6</f>
        <v>0</v>
      </c>
      <c r="T6" s="9">
        <f t="shared" si="2"/>
        <v>0</v>
      </c>
      <c r="U6" s="58"/>
      <c r="V6" s="9"/>
      <c r="W6" s="32"/>
      <c r="X6" s="9"/>
      <c r="Y6" s="32"/>
      <c r="Z6" s="9"/>
      <c r="AA6" s="37">
        <f t="shared" ref="AA6:AB19" si="3">U6+W6+Y6</f>
        <v>0</v>
      </c>
      <c r="AB6" s="9">
        <f t="shared" si="3"/>
        <v>0</v>
      </c>
      <c r="AC6" s="58"/>
      <c r="AD6" s="9"/>
      <c r="AE6" s="32"/>
      <c r="AF6" s="9"/>
      <c r="AG6" s="32"/>
      <c r="AH6" s="9"/>
      <c r="AI6" s="37">
        <f t="shared" ref="AI6:AJ19" si="4">AC6+AE6+AG6</f>
        <v>0</v>
      </c>
      <c r="AJ6" s="9">
        <f t="shared" si="4"/>
        <v>0</v>
      </c>
      <c r="AK6" s="37">
        <f t="shared" ref="AK6:AL19" si="5">AA6+AI6</f>
        <v>0</v>
      </c>
      <c r="AL6" s="9">
        <f t="shared" si="5"/>
        <v>0</v>
      </c>
      <c r="AM6" s="63">
        <f t="shared" ref="AM6:AN19" si="6">S6+AK6</f>
        <v>0</v>
      </c>
      <c r="AN6" s="9">
        <f t="shared" si="6"/>
        <v>0</v>
      </c>
    </row>
    <row r="7" spans="1:40" ht="20.25" customHeight="1" x14ac:dyDescent="0.15">
      <c r="A7" s="21" t="s">
        <v>77</v>
      </c>
      <c r="B7" s="5" t="s">
        <v>65</v>
      </c>
      <c r="C7" s="33"/>
      <c r="D7" s="116"/>
      <c r="E7" s="33"/>
      <c r="F7" s="116"/>
      <c r="G7" s="33"/>
      <c r="H7" s="116"/>
      <c r="I7" s="150">
        <f t="shared" si="0"/>
        <v>0</v>
      </c>
      <c r="J7" s="116">
        <f t="shared" si="0"/>
        <v>0</v>
      </c>
      <c r="K7" s="59"/>
      <c r="L7" s="116"/>
      <c r="M7" s="33"/>
      <c r="N7" s="116"/>
      <c r="O7" s="33"/>
      <c r="P7" s="116"/>
      <c r="Q7" s="150">
        <f t="shared" si="1"/>
        <v>0</v>
      </c>
      <c r="R7" s="116">
        <f t="shared" si="1"/>
        <v>0</v>
      </c>
      <c r="S7" s="150">
        <f t="shared" si="2"/>
        <v>0</v>
      </c>
      <c r="T7" s="116">
        <f t="shared" si="2"/>
        <v>0</v>
      </c>
      <c r="U7" s="59"/>
      <c r="V7" s="116"/>
      <c r="W7" s="33"/>
      <c r="X7" s="116"/>
      <c r="Y7" s="33"/>
      <c r="Z7" s="116"/>
      <c r="AA7" s="150">
        <f t="shared" si="3"/>
        <v>0</v>
      </c>
      <c r="AB7" s="116">
        <f t="shared" si="3"/>
        <v>0</v>
      </c>
      <c r="AC7" s="59"/>
      <c r="AD7" s="116"/>
      <c r="AE7" s="33"/>
      <c r="AF7" s="116"/>
      <c r="AG7" s="33"/>
      <c r="AH7" s="116"/>
      <c r="AI7" s="150">
        <f t="shared" si="4"/>
        <v>0</v>
      </c>
      <c r="AJ7" s="116">
        <f t="shared" si="4"/>
        <v>0</v>
      </c>
      <c r="AK7" s="150">
        <f t="shared" si="5"/>
        <v>0</v>
      </c>
      <c r="AL7" s="116">
        <f t="shared" si="5"/>
        <v>0</v>
      </c>
      <c r="AM7" s="128">
        <f t="shared" si="6"/>
        <v>0</v>
      </c>
      <c r="AN7" s="116">
        <f t="shared" si="6"/>
        <v>0</v>
      </c>
    </row>
    <row r="8" spans="1:40" ht="20.25" customHeight="1" x14ac:dyDescent="0.15">
      <c r="A8" s="23"/>
      <c r="B8" s="5" t="s">
        <v>66</v>
      </c>
      <c r="C8" s="33"/>
      <c r="D8" s="116"/>
      <c r="E8" s="33"/>
      <c r="F8" s="116"/>
      <c r="G8" s="33"/>
      <c r="H8" s="116"/>
      <c r="I8" s="150">
        <f t="shared" si="0"/>
        <v>0</v>
      </c>
      <c r="J8" s="116">
        <f t="shared" si="0"/>
        <v>0</v>
      </c>
      <c r="K8" s="59"/>
      <c r="L8" s="116"/>
      <c r="M8" s="33"/>
      <c r="N8" s="116"/>
      <c r="O8" s="33"/>
      <c r="P8" s="116"/>
      <c r="Q8" s="150">
        <f t="shared" si="1"/>
        <v>0</v>
      </c>
      <c r="R8" s="116">
        <f t="shared" si="1"/>
        <v>0</v>
      </c>
      <c r="S8" s="150">
        <f t="shared" si="2"/>
        <v>0</v>
      </c>
      <c r="T8" s="116">
        <f t="shared" si="2"/>
        <v>0</v>
      </c>
      <c r="U8" s="59"/>
      <c r="V8" s="116"/>
      <c r="W8" s="33"/>
      <c r="X8" s="116"/>
      <c r="Y8" s="33"/>
      <c r="Z8" s="116"/>
      <c r="AA8" s="150">
        <f t="shared" si="3"/>
        <v>0</v>
      </c>
      <c r="AB8" s="116">
        <f t="shared" si="3"/>
        <v>0</v>
      </c>
      <c r="AC8" s="59"/>
      <c r="AD8" s="116"/>
      <c r="AE8" s="33"/>
      <c r="AF8" s="116"/>
      <c r="AG8" s="33"/>
      <c r="AH8" s="116"/>
      <c r="AI8" s="150">
        <f t="shared" si="4"/>
        <v>0</v>
      </c>
      <c r="AJ8" s="116">
        <f t="shared" si="4"/>
        <v>0</v>
      </c>
      <c r="AK8" s="150">
        <f t="shared" si="5"/>
        <v>0</v>
      </c>
      <c r="AL8" s="116">
        <f t="shared" si="5"/>
        <v>0</v>
      </c>
      <c r="AM8" s="128">
        <f t="shared" si="6"/>
        <v>0</v>
      </c>
      <c r="AN8" s="116">
        <f t="shared" si="6"/>
        <v>0</v>
      </c>
    </row>
    <row r="9" spans="1:40" ht="20.25" customHeight="1" x14ac:dyDescent="0.15">
      <c r="A9" s="23"/>
      <c r="B9" s="5" t="s">
        <v>22</v>
      </c>
      <c r="C9" s="34"/>
      <c r="D9" s="117"/>
      <c r="E9" s="34"/>
      <c r="F9" s="117"/>
      <c r="G9" s="34"/>
      <c r="H9" s="117"/>
      <c r="I9" s="151">
        <f t="shared" si="0"/>
        <v>0</v>
      </c>
      <c r="J9" s="117">
        <f t="shared" si="0"/>
        <v>0</v>
      </c>
      <c r="K9" s="60"/>
      <c r="L9" s="117"/>
      <c r="M9" s="34"/>
      <c r="N9" s="117"/>
      <c r="O9" s="34"/>
      <c r="P9" s="117"/>
      <c r="Q9" s="151">
        <f t="shared" si="1"/>
        <v>0</v>
      </c>
      <c r="R9" s="117">
        <f t="shared" si="1"/>
        <v>0</v>
      </c>
      <c r="S9" s="151">
        <f t="shared" si="2"/>
        <v>0</v>
      </c>
      <c r="T9" s="117">
        <f t="shared" si="2"/>
        <v>0</v>
      </c>
      <c r="U9" s="60"/>
      <c r="V9" s="117"/>
      <c r="W9" s="34"/>
      <c r="X9" s="117"/>
      <c r="Y9" s="34"/>
      <c r="Z9" s="117"/>
      <c r="AA9" s="151">
        <f t="shared" si="3"/>
        <v>0</v>
      </c>
      <c r="AB9" s="117">
        <f t="shared" si="3"/>
        <v>0</v>
      </c>
      <c r="AC9" s="60"/>
      <c r="AD9" s="117"/>
      <c r="AE9" s="34"/>
      <c r="AF9" s="117"/>
      <c r="AG9" s="34"/>
      <c r="AH9" s="117"/>
      <c r="AI9" s="151">
        <f t="shared" si="4"/>
        <v>0</v>
      </c>
      <c r="AJ9" s="117">
        <f t="shared" si="4"/>
        <v>0</v>
      </c>
      <c r="AK9" s="151">
        <f t="shared" si="5"/>
        <v>0</v>
      </c>
      <c r="AL9" s="117">
        <f t="shared" si="5"/>
        <v>0</v>
      </c>
      <c r="AM9" s="129">
        <f t="shared" si="6"/>
        <v>0</v>
      </c>
      <c r="AN9" s="117">
        <f t="shared" si="6"/>
        <v>0</v>
      </c>
    </row>
    <row r="10" spans="1:40" ht="20.25" customHeight="1" x14ac:dyDescent="0.15">
      <c r="A10" s="23"/>
      <c r="B10" s="5" t="s">
        <v>67</v>
      </c>
      <c r="C10" s="34"/>
      <c r="D10" s="117"/>
      <c r="E10" s="34"/>
      <c r="F10" s="117"/>
      <c r="G10" s="34"/>
      <c r="H10" s="117"/>
      <c r="I10" s="151">
        <f t="shared" si="0"/>
        <v>0</v>
      </c>
      <c r="J10" s="117">
        <f t="shared" si="0"/>
        <v>0</v>
      </c>
      <c r="K10" s="60"/>
      <c r="L10" s="117"/>
      <c r="M10" s="34"/>
      <c r="N10" s="117"/>
      <c r="O10" s="34"/>
      <c r="P10" s="117"/>
      <c r="Q10" s="151">
        <f t="shared" si="1"/>
        <v>0</v>
      </c>
      <c r="R10" s="117">
        <f t="shared" si="1"/>
        <v>0</v>
      </c>
      <c r="S10" s="151">
        <f t="shared" si="2"/>
        <v>0</v>
      </c>
      <c r="T10" s="117">
        <f t="shared" si="2"/>
        <v>0</v>
      </c>
      <c r="U10" s="60"/>
      <c r="V10" s="117"/>
      <c r="W10" s="34"/>
      <c r="X10" s="117"/>
      <c r="Y10" s="186"/>
      <c r="Z10" s="117"/>
      <c r="AA10" s="151">
        <f t="shared" si="3"/>
        <v>0</v>
      </c>
      <c r="AB10" s="117">
        <f t="shared" si="3"/>
        <v>0</v>
      </c>
      <c r="AC10" s="60"/>
      <c r="AD10" s="117"/>
      <c r="AE10" s="34"/>
      <c r="AF10" s="117"/>
      <c r="AG10" s="34"/>
      <c r="AH10" s="117"/>
      <c r="AI10" s="151">
        <f t="shared" si="4"/>
        <v>0</v>
      </c>
      <c r="AJ10" s="117">
        <f t="shared" si="4"/>
        <v>0</v>
      </c>
      <c r="AK10" s="151">
        <f t="shared" si="5"/>
        <v>0</v>
      </c>
      <c r="AL10" s="117">
        <f t="shared" si="5"/>
        <v>0</v>
      </c>
      <c r="AM10" s="129">
        <f t="shared" si="6"/>
        <v>0</v>
      </c>
      <c r="AN10" s="117">
        <f t="shared" si="6"/>
        <v>0</v>
      </c>
    </row>
    <row r="11" spans="1:40" ht="20.25" customHeight="1" x14ac:dyDescent="0.15">
      <c r="A11" s="23"/>
      <c r="B11" s="5" t="s">
        <v>23</v>
      </c>
      <c r="C11" s="34"/>
      <c r="D11" s="117"/>
      <c r="E11" s="34"/>
      <c r="F11" s="117"/>
      <c r="G11" s="34"/>
      <c r="H11" s="117"/>
      <c r="I11" s="151">
        <f t="shared" si="0"/>
        <v>0</v>
      </c>
      <c r="J11" s="117">
        <f t="shared" si="0"/>
        <v>0</v>
      </c>
      <c r="K11" s="60"/>
      <c r="L11" s="117"/>
      <c r="M11" s="34"/>
      <c r="N11" s="117"/>
      <c r="O11" s="34"/>
      <c r="P11" s="117"/>
      <c r="Q11" s="151">
        <f t="shared" si="1"/>
        <v>0</v>
      </c>
      <c r="R11" s="117">
        <f t="shared" si="1"/>
        <v>0</v>
      </c>
      <c r="S11" s="151">
        <f t="shared" si="2"/>
        <v>0</v>
      </c>
      <c r="T11" s="117">
        <f t="shared" si="2"/>
        <v>0</v>
      </c>
      <c r="U11" s="60"/>
      <c r="V11" s="117"/>
      <c r="W11" s="34"/>
      <c r="X11" s="117"/>
      <c r="Y11" s="186"/>
      <c r="Z11" s="117"/>
      <c r="AA11" s="151">
        <f t="shared" si="3"/>
        <v>0</v>
      </c>
      <c r="AB11" s="117">
        <f t="shared" si="3"/>
        <v>0</v>
      </c>
      <c r="AC11" s="60"/>
      <c r="AD11" s="117"/>
      <c r="AE11" s="34"/>
      <c r="AF11" s="117"/>
      <c r="AG11" s="34"/>
      <c r="AH11" s="117"/>
      <c r="AI11" s="151">
        <f t="shared" si="4"/>
        <v>0</v>
      </c>
      <c r="AJ11" s="117">
        <f t="shared" si="4"/>
        <v>0</v>
      </c>
      <c r="AK11" s="151">
        <f t="shared" si="5"/>
        <v>0</v>
      </c>
      <c r="AL11" s="117">
        <f t="shared" si="5"/>
        <v>0</v>
      </c>
      <c r="AM11" s="129">
        <f t="shared" si="6"/>
        <v>0</v>
      </c>
      <c r="AN11" s="117">
        <f t="shared" si="6"/>
        <v>0</v>
      </c>
    </row>
    <row r="12" spans="1:40" ht="20.25" customHeight="1" x14ac:dyDescent="0.15">
      <c r="A12" s="23"/>
      <c r="B12" s="5" t="s">
        <v>24</v>
      </c>
      <c r="C12" s="34"/>
      <c r="D12" s="117"/>
      <c r="E12" s="34"/>
      <c r="F12" s="117"/>
      <c r="G12" s="34"/>
      <c r="H12" s="117"/>
      <c r="I12" s="151">
        <f t="shared" si="0"/>
        <v>0</v>
      </c>
      <c r="J12" s="117">
        <f t="shared" si="0"/>
        <v>0</v>
      </c>
      <c r="K12" s="60"/>
      <c r="L12" s="117"/>
      <c r="M12" s="34"/>
      <c r="N12" s="117"/>
      <c r="O12" s="34"/>
      <c r="P12" s="117"/>
      <c r="Q12" s="151">
        <f t="shared" si="1"/>
        <v>0</v>
      </c>
      <c r="R12" s="117">
        <f t="shared" si="1"/>
        <v>0</v>
      </c>
      <c r="S12" s="151">
        <f t="shared" si="2"/>
        <v>0</v>
      </c>
      <c r="T12" s="117">
        <f t="shared" si="2"/>
        <v>0</v>
      </c>
      <c r="U12" s="60"/>
      <c r="V12" s="117"/>
      <c r="W12" s="34"/>
      <c r="X12" s="117"/>
      <c r="Y12" s="186"/>
      <c r="Z12" s="117"/>
      <c r="AA12" s="151">
        <f t="shared" si="3"/>
        <v>0</v>
      </c>
      <c r="AB12" s="117">
        <f t="shared" si="3"/>
        <v>0</v>
      </c>
      <c r="AC12" s="60"/>
      <c r="AD12" s="117"/>
      <c r="AE12" s="34"/>
      <c r="AF12" s="117"/>
      <c r="AG12" s="34"/>
      <c r="AH12" s="117"/>
      <c r="AI12" s="151">
        <f t="shared" si="4"/>
        <v>0</v>
      </c>
      <c r="AJ12" s="117">
        <f t="shared" si="4"/>
        <v>0</v>
      </c>
      <c r="AK12" s="151">
        <f t="shared" si="5"/>
        <v>0</v>
      </c>
      <c r="AL12" s="117">
        <f t="shared" si="5"/>
        <v>0</v>
      </c>
      <c r="AM12" s="129">
        <f t="shared" si="6"/>
        <v>0</v>
      </c>
      <c r="AN12" s="117">
        <f t="shared" si="6"/>
        <v>0</v>
      </c>
    </row>
    <row r="13" spans="1:40" ht="20.25" customHeight="1" x14ac:dyDescent="0.15">
      <c r="A13" s="23"/>
      <c r="B13" s="5" t="s">
        <v>25</v>
      </c>
      <c r="C13" s="34"/>
      <c r="D13" s="117"/>
      <c r="E13" s="34"/>
      <c r="F13" s="117"/>
      <c r="G13" s="34"/>
      <c r="H13" s="117"/>
      <c r="I13" s="151">
        <f>C13+E13+G13</f>
        <v>0</v>
      </c>
      <c r="J13" s="117">
        <f t="shared" si="0"/>
        <v>0</v>
      </c>
      <c r="K13" s="60"/>
      <c r="L13" s="117"/>
      <c r="M13" s="34"/>
      <c r="N13" s="117"/>
      <c r="O13" s="34"/>
      <c r="P13" s="117"/>
      <c r="Q13" s="151">
        <f t="shared" si="1"/>
        <v>0</v>
      </c>
      <c r="R13" s="117">
        <f t="shared" si="1"/>
        <v>0</v>
      </c>
      <c r="S13" s="151">
        <f t="shared" si="2"/>
        <v>0</v>
      </c>
      <c r="T13" s="117">
        <f t="shared" si="2"/>
        <v>0</v>
      </c>
      <c r="U13" s="60"/>
      <c r="V13" s="117"/>
      <c r="W13" s="34"/>
      <c r="X13" s="117"/>
      <c r="Y13" s="186"/>
      <c r="Z13" s="117"/>
      <c r="AA13" s="151">
        <f t="shared" si="3"/>
        <v>0</v>
      </c>
      <c r="AB13" s="117">
        <f t="shared" si="3"/>
        <v>0</v>
      </c>
      <c r="AC13" s="60"/>
      <c r="AD13" s="117"/>
      <c r="AE13" s="34"/>
      <c r="AF13" s="117"/>
      <c r="AG13" s="34"/>
      <c r="AH13" s="117"/>
      <c r="AI13" s="151">
        <f t="shared" si="4"/>
        <v>0</v>
      </c>
      <c r="AJ13" s="117">
        <f t="shared" si="4"/>
        <v>0</v>
      </c>
      <c r="AK13" s="151">
        <f t="shared" si="5"/>
        <v>0</v>
      </c>
      <c r="AL13" s="117">
        <f t="shared" si="5"/>
        <v>0</v>
      </c>
      <c r="AM13" s="129">
        <f t="shared" si="6"/>
        <v>0</v>
      </c>
      <c r="AN13" s="117">
        <f t="shared" si="6"/>
        <v>0</v>
      </c>
    </row>
    <row r="14" spans="1:40" ht="20.25" customHeight="1" x14ac:dyDescent="0.15">
      <c r="A14" s="26"/>
      <c r="B14" s="27" t="s">
        <v>26</v>
      </c>
      <c r="C14" s="35"/>
      <c r="D14" s="118"/>
      <c r="E14" s="35"/>
      <c r="F14" s="118"/>
      <c r="G14" s="35"/>
      <c r="H14" s="118"/>
      <c r="I14" s="152">
        <f t="shared" si="0"/>
        <v>0</v>
      </c>
      <c r="J14" s="118">
        <f t="shared" si="0"/>
        <v>0</v>
      </c>
      <c r="K14" s="61"/>
      <c r="L14" s="118"/>
      <c r="M14" s="35"/>
      <c r="N14" s="118"/>
      <c r="O14" s="35"/>
      <c r="P14" s="118"/>
      <c r="Q14" s="152">
        <f t="shared" si="1"/>
        <v>0</v>
      </c>
      <c r="R14" s="118">
        <f t="shared" si="1"/>
        <v>0</v>
      </c>
      <c r="S14" s="152">
        <f t="shared" si="2"/>
        <v>0</v>
      </c>
      <c r="T14" s="118">
        <f t="shared" si="2"/>
        <v>0</v>
      </c>
      <c r="U14" s="61"/>
      <c r="V14" s="118"/>
      <c r="W14" s="35"/>
      <c r="X14" s="118"/>
      <c r="Y14" s="187"/>
      <c r="Z14" s="118"/>
      <c r="AA14" s="152">
        <f t="shared" si="3"/>
        <v>0</v>
      </c>
      <c r="AB14" s="118">
        <f t="shared" si="3"/>
        <v>0</v>
      </c>
      <c r="AC14" s="61"/>
      <c r="AD14" s="118"/>
      <c r="AE14" s="35"/>
      <c r="AF14" s="118"/>
      <c r="AG14" s="35"/>
      <c r="AH14" s="118"/>
      <c r="AI14" s="152">
        <f t="shared" si="4"/>
        <v>0</v>
      </c>
      <c r="AJ14" s="118">
        <f t="shared" si="4"/>
        <v>0</v>
      </c>
      <c r="AK14" s="152">
        <f t="shared" si="5"/>
        <v>0</v>
      </c>
      <c r="AL14" s="118">
        <f t="shared" si="5"/>
        <v>0</v>
      </c>
      <c r="AM14" s="130">
        <f t="shared" si="6"/>
        <v>0</v>
      </c>
      <c r="AN14" s="118">
        <f t="shared" si="6"/>
        <v>0</v>
      </c>
    </row>
    <row r="15" spans="1:40" ht="20.25" customHeight="1" x14ac:dyDescent="0.15">
      <c r="A15" s="21" t="s">
        <v>77</v>
      </c>
      <c r="B15" s="22" t="s">
        <v>68</v>
      </c>
      <c r="C15" s="34"/>
      <c r="D15" s="4"/>
      <c r="E15" s="34"/>
      <c r="F15" s="4"/>
      <c r="G15" s="34"/>
      <c r="H15" s="4"/>
      <c r="I15" s="151">
        <f t="shared" si="0"/>
        <v>0</v>
      </c>
      <c r="J15" s="117">
        <f t="shared" si="0"/>
        <v>0</v>
      </c>
      <c r="K15" s="60"/>
      <c r="L15" s="4"/>
      <c r="M15" s="34"/>
      <c r="N15" s="4"/>
      <c r="O15" s="34"/>
      <c r="P15" s="4"/>
      <c r="Q15" s="151">
        <f t="shared" si="1"/>
        <v>0</v>
      </c>
      <c r="R15" s="117">
        <f t="shared" si="1"/>
        <v>0</v>
      </c>
      <c r="S15" s="151">
        <f t="shared" si="2"/>
        <v>0</v>
      </c>
      <c r="T15" s="117">
        <f t="shared" si="2"/>
        <v>0</v>
      </c>
      <c r="U15" s="60"/>
      <c r="V15" s="4"/>
      <c r="W15" s="34"/>
      <c r="X15" s="4"/>
      <c r="Y15" s="186"/>
      <c r="Z15" s="4"/>
      <c r="AA15" s="151">
        <f t="shared" si="3"/>
        <v>0</v>
      </c>
      <c r="AB15" s="117">
        <f t="shared" si="3"/>
        <v>0</v>
      </c>
      <c r="AC15" s="60"/>
      <c r="AD15" s="4"/>
      <c r="AE15" s="34"/>
      <c r="AF15" s="4"/>
      <c r="AG15" s="34"/>
      <c r="AH15" s="4"/>
      <c r="AI15" s="151">
        <f t="shared" si="4"/>
        <v>0</v>
      </c>
      <c r="AJ15" s="117">
        <f t="shared" si="4"/>
        <v>0</v>
      </c>
      <c r="AK15" s="151">
        <f t="shared" si="5"/>
        <v>0</v>
      </c>
      <c r="AL15" s="117">
        <f t="shared" si="5"/>
        <v>0</v>
      </c>
      <c r="AM15" s="129">
        <f t="shared" si="6"/>
        <v>0</v>
      </c>
      <c r="AN15" s="117">
        <f t="shared" si="6"/>
        <v>0</v>
      </c>
    </row>
    <row r="16" spans="1:40" ht="20.25" customHeight="1" x14ac:dyDescent="0.15">
      <c r="A16" s="21" t="s">
        <v>78</v>
      </c>
      <c r="B16" s="6" t="s">
        <v>69</v>
      </c>
      <c r="C16" s="34"/>
      <c r="D16" s="4"/>
      <c r="E16" s="34"/>
      <c r="F16" s="4"/>
      <c r="G16" s="34"/>
      <c r="H16" s="4"/>
      <c r="I16" s="151">
        <f t="shared" si="0"/>
        <v>0</v>
      </c>
      <c r="J16" s="117">
        <f t="shared" si="0"/>
        <v>0</v>
      </c>
      <c r="K16" s="60"/>
      <c r="L16" s="4"/>
      <c r="M16" s="34"/>
      <c r="N16" s="4"/>
      <c r="O16" s="34"/>
      <c r="P16" s="4"/>
      <c r="Q16" s="151">
        <f t="shared" si="1"/>
        <v>0</v>
      </c>
      <c r="R16" s="117">
        <f t="shared" si="1"/>
        <v>0</v>
      </c>
      <c r="S16" s="151">
        <f t="shared" si="2"/>
        <v>0</v>
      </c>
      <c r="T16" s="117">
        <f t="shared" si="2"/>
        <v>0</v>
      </c>
      <c r="U16" s="60"/>
      <c r="V16" s="4"/>
      <c r="W16" s="34"/>
      <c r="X16" s="4"/>
      <c r="Y16" s="186"/>
      <c r="Z16" s="4"/>
      <c r="AA16" s="151">
        <f t="shared" si="3"/>
        <v>0</v>
      </c>
      <c r="AB16" s="117">
        <f t="shared" si="3"/>
        <v>0</v>
      </c>
      <c r="AC16" s="60"/>
      <c r="AD16" s="4"/>
      <c r="AE16" s="34"/>
      <c r="AF16" s="4"/>
      <c r="AG16" s="34"/>
      <c r="AH16" s="4"/>
      <c r="AI16" s="151">
        <f t="shared" si="4"/>
        <v>0</v>
      </c>
      <c r="AJ16" s="117">
        <f t="shared" si="4"/>
        <v>0</v>
      </c>
      <c r="AK16" s="151">
        <f t="shared" si="5"/>
        <v>0</v>
      </c>
      <c r="AL16" s="117">
        <f t="shared" si="5"/>
        <v>0</v>
      </c>
      <c r="AM16" s="129">
        <f t="shared" si="6"/>
        <v>0</v>
      </c>
      <c r="AN16" s="117">
        <f t="shared" si="6"/>
        <v>0</v>
      </c>
    </row>
    <row r="17" spans="1:40" ht="20.25" customHeight="1" x14ac:dyDescent="0.15">
      <c r="A17" s="21" t="s">
        <v>79</v>
      </c>
      <c r="B17" s="6" t="s">
        <v>70</v>
      </c>
      <c r="C17" s="34"/>
      <c r="D17" s="4"/>
      <c r="E17" s="34"/>
      <c r="F17" s="4"/>
      <c r="G17" s="34"/>
      <c r="H17" s="4"/>
      <c r="I17" s="151">
        <f t="shared" si="0"/>
        <v>0</v>
      </c>
      <c r="J17" s="117">
        <f t="shared" si="0"/>
        <v>0</v>
      </c>
      <c r="K17" s="60"/>
      <c r="L17" s="4"/>
      <c r="M17" s="34"/>
      <c r="N17" s="4"/>
      <c r="O17" s="34"/>
      <c r="P17" s="4"/>
      <c r="Q17" s="151">
        <f t="shared" si="1"/>
        <v>0</v>
      </c>
      <c r="R17" s="117">
        <f t="shared" si="1"/>
        <v>0</v>
      </c>
      <c r="S17" s="151">
        <f t="shared" si="2"/>
        <v>0</v>
      </c>
      <c r="T17" s="117">
        <f t="shared" si="2"/>
        <v>0</v>
      </c>
      <c r="U17" s="60"/>
      <c r="V17" s="4"/>
      <c r="W17" s="34"/>
      <c r="X17" s="4"/>
      <c r="Y17" s="186"/>
      <c r="Z17" s="4"/>
      <c r="AA17" s="151">
        <f t="shared" si="3"/>
        <v>0</v>
      </c>
      <c r="AB17" s="117">
        <f t="shared" si="3"/>
        <v>0</v>
      </c>
      <c r="AC17" s="60"/>
      <c r="AD17" s="4"/>
      <c r="AE17" s="34"/>
      <c r="AF17" s="4"/>
      <c r="AG17" s="34"/>
      <c r="AH17" s="4"/>
      <c r="AI17" s="151">
        <f t="shared" si="4"/>
        <v>0</v>
      </c>
      <c r="AJ17" s="117">
        <f t="shared" si="4"/>
        <v>0</v>
      </c>
      <c r="AK17" s="151">
        <f t="shared" si="5"/>
        <v>0</v>
      </c>
      <c r="AL17" s="117">
        <f t="shared" si="5"/>
        <v>0</v>
      </c>
      <c r="AM17" s="129">
        <f t="shared" si="6"/>
        <v>0</v>
      </c>
      <c r="AN17" s="117">
        <f t="shared" si="6"/>
        <v>0</v>
      </c>
    </row>
    <row r="18" spans="1:40" ht="20.25" customHeight="1" x14ac:dyDescent="0.15">
      <c r="A18" s="23"/>
      <c r="B18" s="6" t="s">
        <v>187</v>
      </c>
      <c r="C18" s="34"/>
      <c r="D18" s="4"/>
      <c r="E18" s="34"/>
      <c r="F18" s="4"/>
      <c r="G18" s="34"/>
      <c r="H18" s="4"/>
      <c r="I18" s="151">
        <f t="shared" si="0"/>
        <v>0</v>
      </c>
      <c r="J18" s="117">
        <f t="shared" si="0"/>
        <v>0</v>
      </c>
      <c r="K18" s="60"/>
      <c r="L18" s="4"/>
      <c r="M18" s="34"/>
      <c r="N18" s="4"/>
      <c r="O18" s="34"/>
      <c r="P18" s="4"/>
      <c r="Q18" s="151">
        <f t="shared" si="1"/>
        <v>0</v>
      </c>
      <c r="R18" s="117">
        <f t="shared" si="1"/>
        <v>0</v>
      </c>
      <c r="S18" s="151">
        <f t="shared" si="2"/>
        <v>0</v>
      </c>
      <c r="T18" s="117">
        <f t="shared" si="2"/>
        <v>0</v>
      </c>
      <c r="U18" s="60"/>
      <c r="V18" s="4"/>
      <c r="W18" s="34"/>
      <c r="X18" s="4"/>
      <c r="Y18" s="186"/>
      <c r="Z18" s="4"/>
      <c r="AA18" s="151">
        <f t="shared" si="3"/>
        <v>0</v>
      </c>
      <c r="AB18" s="117">
        <f t="shared" si="3"/>
        <v>0</v>
      </c>
      <c r="AC18" s="60"/>
      <c r="AD18" s="4"/>
      <c r="AE18" s="34"/>
      <c r="AF18" s="4"/>
      <c r="AG18" s="34"/>
      <c r="AH18" s="4"/>
      <c r="AI18" s="151">
        <f t="shared" si="4"/>
        <v>0</v>
      </c>
      <c r="AJ18" s="117">
        <f t="shared" si="4"/>
        <v>0</v>
      </c>
      <c r="AK18" s="151">
        <f t="shared" si="5"/>
        <v>0</v>
      </c>
      <c r="AL18" s="117">
        <f t="shared" si="5"/>
        <v>0</v>
      </c>
      <c r="AM18" s="129">
        <f t="shared" si="6"/>
        <v>0</v>
      </c>
      <c r="AN18" s="117">
        <f t="shared" si="6"/>
        <v>0</v>
      </c>
    </row>
    <row r="19" spans="1:40" ht="20.25" customHeight="1" thickBot="1" x14ac:dyDescent="0.2">
      <c r="A19" s="23"/>
      <c r="B19" s="6" t="s">
        <v>72</v>
      </c>
      <c r="C19" s="34"/>
      <c r="D19" s="4"/>
      <c r="E19" s="34"/>
      <c r="F19" s="4"/>
      <c r="G19" s="34"/>
      <c r="H19" s="4"/>
      <c r="I19" s="151">
        <f t="shared" si="0"/>
        <v>0</v>
      </c>
      <c r="J19" s="117">
        <f>D19+F19+H19</f>
        <v>0</v>
      </c>
      <c r="K19" s="60"/>
      <c r="L19" s="4"/>
      <c r="M19" s="34"/>
      <c r="N19" s="4"/>
      <c r="O19" s="34"/>
      <c r="P19" s="4"/>
      <c r="Q19" s="151">
        <f t="shared" si="1"/>
        <v>0</v>
      </c>
      <c r="R19" s="117">
        <f t="shared" si="1"/>
        <v>0</v>
      </c>
      <c r="S19" s="151">
        <f t="shared" si="2"/>
        <v>0</v>
      </c>
      <c r="T19" s="117">
        <f t="shared" si="2"/>
        <v>0</v>
      </c>
      <c r="U19" s="60"/>
      <c r="V19" s="4"/>
      <c r="W19" s="34"/>
      <c r="X19" s="89"/>
      <c r="Y19" s="186"/>
      <c r="Z19" s="89"/>
      <c r="AA19" s="151">
        <f t="shared" si="3"/>
        <v>0</v>
      </c>
      <c r="AB19" s="117">
        <f t="shared" si="3"/>
        <v>0</v>
      </c>
      <c r="AC19" s="60"/>
      <c r="AD19" s="4"/>
      <c r="AE19" s="34"/>
      <c r="AF19" s="4"/>
      <c r="AG19" s="34"/>
      <c r="AH19" s="4"/>
      <c r="AI19" s="151">
        <f t="shared" si="4"/>
        <v>0</v>
      </c>
      <c r="AJ19" s="117">
        <f t="shared" si="4"/>
        <v>0</v>
      </c>
      <c r="AK19" s="151">
        <f t="shared" si="5"/>
        <v>0</v>
      </c>
      <c r="AL19" s="117">
        <f t="shared" si="5"/>
        <v>0</v>
      </c>
      <c r="AM19" s="129">
        <f t="shared" si="6"/>
        <v>0</v>
      </c>
      <c r="AN19" s="117">
        <f t="shared" si="6"/>
        <v>0</v>
      </c>
    </row>
    <row r="20" spans="1:40" ht="20.25" customHeight="1" thickTop="1" thickBot="1" x14ac:dyDescent="0.2">
      <c r="A20" s="24"/>
      <c r="B20" s="7" t="s">
        <v>27</v>
      </c>
      <c r="C20" s="36">
        <f>SUM(C6:C19)</f>
        <v>0</v>
      </c>
      <c r="D20" s="8">
        <f t="shared" ref="D20:AN20" si="7">SUM(D6:D19)</f>
        <v>0</v>
      </c>
      <c r="E20" s="36">
        <f t="shared" si="7"/>
        <v>0</v>
      </c>
      <c r="F20" s="8">
        <f t="shared" si="7"/>
        <v>0</v>
      </c>
      <c r="G20" s="36">
        <f t="shared" si="7"/>
        <v>0</v>
      </c>
      <c r="H20" s="8">
        <f t="shared" si="7"/>
        <v>0</v>
      </c>
      <c r="I20" s="36">
        <f t="shared" si="7"/>
        <v>0</v>
      </c>
      <c r="J20" s="8">
        <f t="shared" si="7"/>
        <v>0</v>
      </c>
      <c r="K20" s="62">
        <f t="shared" si="7"/>
        <v>0</v>
      </c>
      <c r="L20" s="8">
        <f t="shared" si="7"/>
        <v>0</v>
      </c>
      <c r="M20" s="36">
        <f t="shared" si="7"/>
        <v>0</v>
      </c>
      <c r="N20" s="8">
        <f t="shared" si="7"/>
        <v>0</v>
      </c>
      <c r="O20" s="36">
        <f t="shared" si="7"/>
        <v>0</v>
      </c>
      <c r="P20" s="8">
        <f t="shared" si="7"/>
        <v>0</v>
      </c>
      <c r="Q20" s="36">
        <f t="shared" si="7"/>
        <v>0</v>
      </c>
      <c r="R20" s="8">
        <f t="shared" si="7"/>
        <v>0</v>
      </c>
      <c r="S20" s="36">
        <f t="shared" si="7"/>
        <v>0</v>
      </c>
      <c r="T20" s="8">
        <f t="shared" si="7"/>
        <v>0</v>
      </c>
      <c r="U20" s="62">
        <f t="shared" si="7"/>
        <v>0</v>
      </c>
      <c r="V20" s="8">
        <f t="shared" si="7"/>
        <v>0</v>
      </c>
      <c r="W20" s="36">
        <f t="shared" si="7"/>
        <v>0</v>
      </c>
      <c r="X20" s="8">
        <f t="shared" si="7"/>
        <v>0</v>
      </c>
      <c r="Y20" s="36">
        <f t="shared" si="7"/>
        <v>0</v>
      </c>
      <c r="Z20" s="8">
        <f t="shared" si="7"/>
        <v>0</v>
      </c>
      <c r="AA20" s="36">
        <f t="shared" si="7"/>
        <v>0</v>
      </c>
      <c r="AB20" s="8">
        <f t="shared" si="7"/>
        <v>0</v>
      </c>
      <c r="AC20" s="62">
        <f t="shared" si="7"/>
        <v>0</v>
      </c>
      <c r="AD20" s="8">
        <f t="shared" si="7"/>
        <v>0</v>
      </c>
      <c r="AE20" s="36">
        <f t="shared" si="7"/>
        <v>0</v>
      </c>
      <c r="AF20" s="8">
        <f t="shared" si="7"/>
        <v>0</v>
      </c>
      <c r="AG20" s="36">
        <f t="shared" si="7"/>
        <v>0</v>
      </c>
      <c r="AH20" s="8">
        <f t="shared" si="7"/>
        <v>0</v>
      </c>
      <c r="AI20" s="36">
        <f t="shared" si="7"/>
        <v>0</v>
      </c>
      <c r="AJ20" s="8">
        <f t="shared" si="7"/>
        <v>0</v>
      </c>
      <c r="AK20" s="36">
        <f t="shared" si="7"/>
        <v>0</v>
      </c>
      <c r="AL20" s="8">
        <f t="shared" si="7"/>
        <v>0</v>
      </c>
      <c r="AM20" s="62">
        <f t="shared" si="7"/>
        <v>0</v>
      </c>
      <c r="AN20" s="8">
        <f t="shared" si="7"/>
        <v>0</v>
      </c>
    </row>
    <row r="21" spans="1:40" ht="20.25" customHeight="1" x14ac:dyDescent="0.15">
      <c r="A21" s="218" t="s">
        <v>28</v>
      </c>
      <c r="B21" s="219"/>
      <c r="C21" s="37">
        <f>C5-C20</f>
        <v>0</v>
      </c>
      <c r="D21" s="9">
        <f t="shared" ref="D21:AN21" si="8">D5-D20</f>
        <v>0</v>
      </c>
      <c r="E21" s="37">
        <f t="shared" si="8"/>
        <v>0</v>
      </c>
      <c r="F21" s="9">
        <f t="shared" si="8"/>
        <v>0</v>
      </c>
      <c r="G21" s="37">
        <f t="shared" si="8"/>
        <v>0</v>
      </c>
      <c r="H21" s="9">
        <f t="shared" si="8"/>
        <v>0</v>
      </c>
      <c r="I21" s="37">
        <f t="shared" si="8"/>
        <v>0</v>
      </c>
      <c r="J21" s="9">
        <f t="shared" si="8"/>
        <v>0</v>
      </c>
      <c r="K21" s="63">
        <f t="shared" si="8"/>
        <v>0</v>
      </c>
      <c r="L21" s="9">
        <f t="shared" si="8"/>
        <v>0</v>
      </c>
      <c r="M21" s="37">
        <f t="shared" si="8"/>
        <v>0</v>
      </c>
      <c r="N21" s="9">
        <f t="shared" si="8"/>
        <v>0</v>
      </c>
      <c r="O21" s="37">
        <f t="shared" si="8"/>
        <v>0</v>
      </c>
      <c r="P21" s="9">
        <f t="shared" si="8"/>
        <v>18500000</v>
      </c>
      <c r="Q21" s="37">
        <f t="shared" si="8"/>
        <v>0</v>
      </c>
      <c r="R21" s="9">
        <f t="shared" si="8"/>
        <v>18500000</v>
      </c>
      <c r="S21" s="37">
        <f t="shared" si="8"/>
        <v>0</v>
      </c>
      <c r="T21" s="9">
        <f t="shared" si="8"/>
        <v>18500000</v>
      </c>
      <c r="U21" s="63">
        <f t="shared" si="8"/>
        <v>0</v>
      </c>
      <c r="V21" s="9">
        <f t="shared" si="8"/>
        <v>0</v>
      </c>
      <c r="W21" s="37">
        <f t="shared" si="8"/>
        <v>0</v>
      </c>
      <c r="X21" s="9">
        <f t="shared" si="8"/>
        <v>0</v>
      </c>
      <c r="Y21" s="37">
        <f t="shared" si="8"/>
        <v>0</v>
      </c>
      <c r="Z21" s="9">
        <f t="shared" si="8"/>
        <v>0</v>
      </c>
      <c r="AA21" s="37">
        <f t="shared" si="8"/>
        <v>0</v>
      </c>
      <c r="AB21" s="9">
        <f t="shared" si="8"/>
        <v>0</v>
      </c>
      <c r="AC21" s="63">
        <f t="shared" si="8"/>
        <v>0</v>
      </c>
      <c r="AD21" s="9">
        <f t="shared" si="8"/>
        <v>0</v>
      </c>
      <c r="AE21" s="37">
        <f t="shared" si="8"/>
        <v>0</v>
      </c>
      <c r="AF21" s="9">
        <f t="shared" si="8"/>
        <v>0</v>
      </c>
      <c r="AG21" s="37">
        <f t="shared" si="8"/>
        <v>0</v>
      </c>
      <c r="AH21" s="9">
        <f t="shared" si="8"/>
        <v>0</v>
      </c>
      <c r="AI21" s="37">
        <f t="shared" si="8"/>
        <v>0</v>
      </c>
      <c r="AJ21" s="9">
        <f t="shared" si="8"/>
        <v>0</v>
      </c>
      <c r="AK21" s="37">
        <f t="shared" si="8"/>
        <v>0</v>
      </c>
      <c r="AL21" s="9">
        <f t="shared" si="8"/>
        <v>0</v>
      </c>
      <c r="AM21" s="63">
        <f t="shared" si="8"/>
        <v>0</v>
      </c>
      <c r="AN21" s="9">
        <f t="shared" si="8"/>
        <v>18500000</v>
      </c>
    </row>
    <row r="22" spans="1:40" s="11" customFormat="1" ht="20.25" customHeight="1" thickBot="1" x14ac:dyDescent="0.2">
      <c r="A22" s="210" t="s">
        <v>29</v>
      </c>
      <c r="B22" s="211"/>
      <c r="C22" s="38" t="str">
        <f>IF(C5=0,"        ―",C21/C5)</f>
        <v xml:space="preserve">        ―</v>
      </c>
      <c r="D22" s="10" t="str">
        <f t="shared" ref="D22:AN22" si="9">IF(D5=0,"        ―",D21/D5)</f>
        <v xml:space="preserve">        ―</v>
      </c>
      <c r="E22" s="38" t="str">
        <f t="shared" si="9"/>
        <v xml:space="preserve">        ―</v>
      </c>
      <c r="F22" s="10" t="str">
        <f t="shared" si="9"/>
        <v xml:space="preserve">        ―</v>
      </c>
      <c r="G22" s="38" t="str">
        <f t="shared" si="9"/>
        <v xml:space="preserve">        ―</v>
      </c>
      <c r="H22" s="10" t="str">
        <f t="shared" si="9"/>
        <v xml:space="preserve">        ―</v>
      </c>
      <c r="I22" s="38" t="str">
        <f t="shared" si="9"/>
        <v xml:space="preserve">        ―</v>
      </c>
      <c r="J22" s="10" t="str">
        <f t="shared" si="9"/>
        <v xml:space="preserve">        ―</v>
      </c>
      <c r="K22" s="64" t="str">
        <f t="shared" si="9"/>
        <v xml:space="preserve">        ―</v>
      </c>
      <c r="L22" s="10" t="str">
        <f t="shared" si="9"/>
        <v xml:space="preserve">        ―</v>
      </c>
      <c r="M22" s="38" t="str">
        <f t="shared" si="9"/>
        <v xml:space="preserve">        ―</v>
      </c>
      <c r="N22" s="10" t="str">
        <f t="shared" si="9"/>
        <v xml:space="preserve">        ―</v>
      </c>
      <c r="O22" s="38" t="str">
        <f t="shared" si="9"/>
        <v xml:space="preserve">        ―</v>
      </c>
      <c r="P22" s="10">
        <f t="shared" si="9"/>
        <v>1</v>
      </c>
      <c r="Q22" s="38" t="str">
        <f t="shared" si="9"/>
        <v xml:space="preserve">        ―</v>
      </c>
      <c r="R22" s="10">
        <f t="shared" si="9"/>
        <v>1</v>
      </c>
      <c r="S22" s="38" t="str">
        <f t="shared" si="9"/>
        <v xml:space="preserve">        ―</v>
      </c>
      <c r="T22" s="10">
        <f t="shared" si="9"/>
        <v>1</v>
      </c>
      <c r="U22" s="64" t="str">
        <f t="shared" si="9"/>
        <v xml:space="preserve">        ―</v>
      </c>
      <c r="V22" s="10" t="str">
        <f t="shared" si="9"/>
        <v xml:space="preserve">        ―</v>
      </c>
      <c r="W22" s="38" t="str">
        <f t="shared" si="9"/>
        <v xml:space="preserve">        ―</v>
      </c>
      <c r="X22" s="10" t="str">
        <f t="shared" si="9"/>
        <v xml:space="preserve">        ―</v>
      </c>
      <c r="Y22" s="38" t="str">
        <f t="shared" si="9"/>
        <v xml:space="preserve">        ―</v>
      </c>
      <c r="Z22" s="10" t="str">
        <f t="shared" si="9"/>
        <v xml:space="preserve">        ―</v>
      </c>
      <c r="AA22" s="38" t="str">
        <f t="shared" si="9"/>
        <v xml:space="preserve">        ―</v>
      </c>
      <c r="AB22" s="10" t="str">
        <f t="shared" si="9"/>
        <v xml:space="preserve">        ―</v>
      </c>
      <c r="AC22" s="64" t="str">
        <f t="shared" si="9"/>
        <v xml:space="preserve">        ―</v>
      </c>
      <c r="AD22" s="10" t="str">
        <f t="shared" si="9"/>
        <v xml:space="preserve">        ―</v>
      </c>
      <c r="AE22" s="38" t="str">
        <f t="shared" si="9"/>
        <v xml:space="preserve">        ―</v>
      </c>
      <c r="AF22" s="10" t="str">
        <f t="shared" si="9"/>
        <v xml:space="preserve">        ―</v>
      </c>
      <c r="AG22" s="38" t="str">
        <f t="shared" si="9"/>
        <v xml:space="preserve">        ―</v>
      </c>
      <c r="AH22" s="10" t="str">
        <f t="shared" si="9"/>
        <v xml:space="preserve">        ―</v>
      </c>
      <c r="AI22" s="38" t="str">
        <f t="shared" si="9"/>
        <v xml:space="preserve">        ―</v>
      </c>
      <c r="AJ22" s="10" t="str">
        <f t="shared" si="9"/>
        <v xml:space="preserve">        ―</v>
      </c>
      <c r="AK22" s="38" t="str">
        <f t="shared" si="9"/>
        <v xml:space="preserve">        ―</v>
      </c>
      <c r="AL22" s="10" t="str">
        <f t="shared" si="9"/>
        <v xml:space="preserve">        ―</v>
      </c>
      <c r="AM22" s="64" t="str">
        <f t="shared" si="9"/>
        <v xml:space="preserve">        ―</v>
      </c>
      <c r="AN22" s="10">
        <f t="shared" si="9"/>
        <v>1</v>
      </c>
    </row>
    <row r="23" spans="1:40" ht="20.25" customHeight="1" x14ac:dyDescent="0.15">
      <c r="A23" s="25" t="s">
        <v>30</v>
      </c>
      <c r="B23" s="3" t="s">
        <v>31</v>
      </c>
      <c r="C23" s="34">
        <v>7507664</v>
      </c>
      <c r="D23" s="4">
        <v>10256133</v>
      </c>
      <c r="E23" s="34">
        <v>7507664</v>
      </c>
      <c r="F23" s="4">
        <v>11178196</v>
      </c>
      <c r="G23" s="34">
        <v>7507664</v>
      </c>
      <c r="H23" s="4">
        <v>10583750</v>
      </c>
      <c r="I23" s="151"/>
      <c r="J23" s="117"/>
      <c r="K23" s="60">
        <v>7507664</v>
      </c>
      <c r="L23" s="4">
        <v>10565922</v>
      </c>
      <c r="M23" s="34">
        <v>7507664</v>
      </c>
      <c r="N23" s="4">
        <v>10796883</v>
      </c>
      <c r="O23" s="34">
        <v>7507664</v>
      </c>
      <c r="P23" s="4">
        <v>10705000</v>
      </c>
      <c r="Q23" s="151"/>
      <c r="R23" s="117"/>
      <c r="S23" s="151"/>
      <c r="T23" s="117"/>
      <c r="U23" s="60">
        <v>7507664</v>
      </c>
      <c r="V23" s="4">
        <v>10711250</v>
      </c>
      <c r="W23" s="34">
        <v>7507664</v>
      </c>
      <c r="X23" s="4">
        <v>10701000</v>
      </c>
      <c r="Y23" s="34">
        <v>7507664</v>
      </c>
      <c r="Z23" s="4">
        <v>10714350</v>
      </c>
      <c r="AA23" s="151"/>
      <c r="AB23" s="117"/>
      <c r="AC23" s="60">
        <v>7507664</v>
      </c>
      <c r="AD23" s="4">
        <v>10717500</v>
      </c>
      <c r="AE23" s="34">
        <v>7507664</v>
      </c>
      <c r="AF23" s="4">
        <v>10717364</v>
      </c>
      <c r="AG23" s="34">
        <v>7507664</v>
      </c>
      <c r="AH23" s="4">
        <v>10573125</v>
      </c>
      <c r="AI23" s="151">
        <f>AC23+AE23+AG23</f>
        <v>22522992</v>
      </c>
      <c r="AJ23" s="117">
        <f>AD23+AF23+AH23</f>
        <v>32007989</v>
      </c>
      <c r="AK23" s="151">
        <f>AA23+AI23</f>
        <v>22522992</v>
      </c>
      <c r="AL23" s="117">
        <f>AB23+AJ23</f>
        <v>32007989</v>
      </c>
      <c r="AM23" s="129">
        <f>SUM(C23,E23,G23,K23,M23,O23,U23,W23,Y23,AC23,AE23,AG23)</f>
        <v>90091968</v>
      </c>
      <c r="AN23" s="117">
        <f>SUM(D23,F23,H23,L23,N23,P23,V23,X23,Z23,AD23,AF23,AH23)</f>
        <v>128220473</v>
      </c>
    </row>
    <row r="24" spans="1:40" ht="20.25" customHeight="1" x14ac:dyDescent="0.15">
      <c r="A24" s="21" t="s">
        <v>80</v>
      </c>
      <c r="B24" s="5" t="s">
        <v>32</v>
      </c>
      <c r="C24" s="34"/>
      <c r="D24" s="4">
        <v>0</v>
      </c>
      <c r="E24" s="34"/>
      <c r="F24" s="4">
        <v>0</v>
      </c>
      <c r="G24" s="34"/>
      <c r="H24" s="4">
        <v>0</v>
      </c>
      <c r="I24" s="151"/>
      <c r="J24" s="117"/>
      <c r="K24" s="60"/>
      <c r="L24" s="4">
        <v>0</v>
      </c>
      <c r="M24" s="34"/>
      <c r="N24" s="4">
        <v>0</v>
      </c>
      <c r="O24" s="34"/>
      <c r="P24" s="4">
        <v>0</v>
      </c>
      <c r="Q24" s="151"/>
      <c r="R24" s="117"/>
      <c r="S24" s="151"/>
      <c r="T24" s="117"/>
      <c r="U24" s="60"/>
      <c r="V24" s="4">
        <v>0</v>
      </c>
      <c r="W24" s="34"/>
      <c r="X24" s="4">
        <v>0</v>
      </c>
      <c r="Y24" s="34"/>
      <c r="Z24" s="4">
        <v>0</v>
      </c>
      <c r="AA24" s="151"/>
      <c r="AB24" s="117"/>
      <c r="AC24" s="60"/>
      <c r="AD24" s="4">
        <v>0</v>
      </c>
      <c r="AE24" s="34"/>
      <c r="AF24" s="4">
        <v>0</v>
      </c>
      <c r="AG24" s="34"/>
      <c r="AH24" s="4">
        <v>0</v>
      </c>
      <c r="AI24" s="151">
        <f t="shared" ref="AI24:AJ31" si="10">AC24+AE24+AG24</f>
        <v>0</v>
      </c>
      <c r="AJ24" s="117">
        <f t="shared" si="10"/>
        <v>0</v>
      </c>
      <c r="AK24" s="151">
        <f t="shared" ref="AK24:AL31" si="11">AA24+AI24</f>
        <v>0</v>
      </c>
      <c r="AL24" s="117">
        <f t="shared" si="11"/>
        <v>0</v>
      </c>
      <c r="AM24" s="129">
        <f t="shared" ref="AM24:AM60" si="12">SUM(C24,E24,G24,K24,M24,O24,U24,W24,Y24,AC24,AE24,AG24)</f>
        <v>0</v>
      </c>
      <c r="AN24" s="117">
        <f t="shared" ref="AN24:AN59" si="13">SUM(D24,F24,H24,L24,N24,P24,V24,X24,Z24,AD24,AF24,AH24)</f>
        <v>0</v>
      </c>
    </row>
    <row r="25" spans="1:40" ht="20.25" customHeight="1" x14ac:dyDescent="0.15">
      <c r="A25" s="23"/>
      <c r="B25" s="5" t="s">
        <v>33</v>
      </c>
      <c r="C25" s="34"/>
      <c r="D25" s="4">
        <v>0</v>
      </c>
      <c r="E25" s="34"/>
      <c r="F25" s="4">
        <v>0</v>
      </c>
      <c r="G25" s="34"/>
      <c r="H25" s="4">
        <v>0</v>
      </c>
      <c r="I25" s="151"/>
      <c r="J25" s="117"/>
      <c r="K25" s="60"/>
      <c r="L25" s="4">
        <v>0</v>
      </c>
      <c r="M25" s="34"/>
      <c r="N25" s="4">
        <v>0</v>
      </c>
      <c r="O25" s="34"/>
      <c r="P25" s="4">
        <v>0</v>
      </c>
      <c r="Q25" s="151"/>
      <c r="R25" s="117"/>
      <c r="S25" s="151"/>
      <c r="T25" s="117"/>
      <c r="U25" s="60"/>
      <c r="V25" s="4">
        <v>0</v>
      </c>
      <c r="W25" s="34"/>
      <c r="X25" s="4">
        <v>0</v>
      </c>
      <c r="Y25" s="34"/>
      <c r="Z25" s="4">
        <v>0</v>
      </c>
      <c r="AA25" s="151"/>
      <c r="AB25" s="117"/>
      <c r="AC25" s="60"/>
      <c r="AD25" s="4">
        <v>0</v>
      </c>
      <c r="AE25" s="34"/>
      <c r="AF25" s="4">
        <v>10900000</v>
      </c>
      <c r="AG25" s="34"/>
      <c r="AH25" s="4">
        <v>0</v>
      </c>
      <c r="AI25" s="151">
        <f t="shared" si="10"/>
        <v>0</v>
      </c>
      <c r="AJ25" s="117">
        <f t="shared" si="10"/>
        <v>10900000</v>
      </c>
      <c r="AK25" s="151">
        <f t="shared" si="11"/>
        <v>0</v>
      </c>
      <c r="AL25" s="117">
        <f t="shared" si="11"/>
        <v>10900000</v>
      </c>
      <c r="AM25" s="129">
        <f t="shared" si="12"/>
        <v>0</v>
      </c>
      <c r="AN25" s="117">
        <f t="shared" si="13"/>
        <v>10900000</v>
      </c>
    </row>
    <row r="26" spans="1:40" ht="20.25" customHeight="1" x14ac:dyDescent="0.15">
      <c r="A26" s="23"/>
      <c r="B26" s="5" t="s">
        <v>22</v>
      </c>
      <c r="C26" s="34">
        <v>271747</v>
      </c>
      <c r="D26" s="4">
        <v>221747</v>
      </c>
      <c r="E26" s="34">
        <v>271747</v>
      </c>
      <c r="F26" s="4">
        <v>220241</v>
      </c>
      <c r="G26" s="34">
        <v>271747</v>
      </c>
      <c r="H26" s="4">
        <v>220241</v>
      </c>
      <c r="I26" s="151"/>
      <c r="J26" s="117"/>
      <c r="K26" s="60">
        <v>271747</v>
      </c>
      <c r="L26" s="4">
        <v>220241</v>
      </c>
      <c r="M26" s="34">
        <v>271747</v>
      </c>
      <c r="N26" s="4">
        <v>233935</v>
      </c>
      <c r="O26" s="34">
        <v>271747</v>
      </c>
      <c r="P26" s="4">
        <v>237512</v>
      </c>
      <c r="Q26" s="151"/>
      <c r="R26" s="117"/>
      <c r="S26" s="151"/>
      <c r="T26" s="117"/>
      <c r="U26" s="60">
        <v>271747</v>
      </c>
      <c r="V26" s="4">
        <v>237512</v>
      </c>
      <c r="W26" s="34">
        <v>271747</v>
      </c>
      <c r="X26" s="4">
        <v>241600</v>
      </c>
      <c r="Y26" s="34">
        <v>271747</v>
      </c>
      <c r="Z26" s="4">
        <v>241600</v>
      </c>
      <c r="AA26" s="151"/>
      <c r="AB26" s="117"/>
      <c r="AC26" s="60">
        <v>271747</v>
      </c>
      <c r="AD26" s="4">
        <v>241600</v>
      </c>
      <c r="AE26" s="34">
        <v>271747</v>
      </c>
      <c r="AF26" s="4">
        <v>241600</v>
      </c>
      <c r="AG26" s="34">
        <v>271747</v>
      </c>
      <c r="AH26" s="4">
        <v>234753</v>
      </c>
      <c r="AI26" s="151">
        <f t="shared" si="10"/>
        <v>815241</v>
      </c>
      <c r="AJ26" s="117">
        <f t="shared" si="10"/>
        <v>717953</v>
      </c>
      <c r="AK26" s="151">
        <f t="shared" si="11"/>
        <v>815241</v>
      </c>
      <c r="AL26" s="117">
        <f t="shared" si="11"/>
        <v>717953</v>
      </c>
      <c r="AM26" s="129">
        <f t="shared" si="12"/>
        <v>3260964</v>
      </c>
      <c r="AN26" s="117">
        <f t="shared" si="13"/>
        <v>2792582</v>
      </c>
    </row>
    <row r="27" spans="1:40" ht="20.25" customHeight="1" x14ac:dyDescent="0.15">
      <c r="A27" s="23"/>
      <c r="B27" s="5" t="s">
        <v>67</v>
      </c>
      <c r="C27" s="34">
        <v>30620</v>
      </c>
      <c r="D27" s="4">
        <v>28620</v>
      </c>
      <c r="E27" s="34">
        <v>30620</v>
      </c>
      <c r="F27" s="4">
        <v>26076</v>
      </c>
      <c r="G27" s="34">
        <v>30620</v>
      </c>
      <c r="H27" s="4">
        <v>26076</v>
      </c>
      <c r="I27" s="151"/>
      <c r="J27" s="117"/>
      <c r="K27" s="60">
        <v>30620</v>
      </c>
      <c r="L27" s="4">
        <v>26076</v>
      </c>
      <c r="M27" s="34">
        <v>30620</v>
      </c>
      <c r="N27" s="4">
        <v>27175</v>
      </c>
      <c r="O27" s="34">
        <v>30620</v>
      </c>
      <c r="P27" s="4">
        <v>28979</v>
      </c>
      <c r="Q27" s="151"/>
      <c r="R27" s="117"/>
      <c r="S27" s="151"/>
      <c r="T27" s="117"/>
      <c r="U27" s="60">
        <v>30620</v>
      </c>
      <c r="V27" s="4">
        <v>28979</v>
      </c>
      <c r="W27" s="34">
        <v>30620</v>
      </c>
      <c r="X27" s="4">
        <v>29635</v>
      </c>
      <c r="Y27" s="34">
        <v>30620</v>
      </c>
      <c r="Z27" s="4">
        <v>29635</v>
      </c>
      <c r="AA27" s="151"/>
      <c r="AB27" s="117"/>
      <c r="AC27" s="60">
        <v>30620</v>
      </c>
      <c r="AD27" s="4">
        <v>29635</v>
      </c>
      <c r="AE27" s="34">
        <v>30620</v>
      </c>
      <c r="AF27" s="4">
        <v>29635</v>
      </c>
      <c r="AG27" s="34">
        <v>30620</v>
      </c>
      <c r="AH27" s="4">
        <v>28536</v>
      </c>
      <c r="AI27" s="151">
        <f t="shared" si="10"/>
        <v>91860</v>
      </c>
      <c r="AJ27" s="117">
        <f t="shared" si="10"/>
        <v>87806</v>
      </c>
      <c r="AK27" s="151">
        <f t="shared" si="11"/>
        <v>91860</v>
      </c>
      <c r="AL27" s="117">
        <f t="shared" si="11"/>
        <v>87806</v>
      </c>
      <c r="AM27" s="129">
        <f t="shared" si="12"/>
        <v>367440</v>
      </c>
      <c r="AN27" s="117">
        <f t="shared" si="13"/>
        <v>339057</v>
      </c>
    </row>
    <row r="28" spans="1:40" ht="20.25" customHeight="1" x14ac:dyDescent="0.15">
      <c r="A28" s="23"/>
      <c r="B28" s="5" t="s">
        <v>23</v>
      </c>
      <c r="C28" s="34">
        <v>350205</v>
      </c>
      <c r="D28" s="4">
        <v>299205</v>
      </c>
      <c r="E28" s="34">
        <v>350205</v>
      </c>
      <c r="F28" s="4">
        <v>299205</v>
      </c>
      <c r="G28" s="34">
        <v>350205</v>
      </c>
      <c r="H28" s="4">
        <v>299205</v>
      </c>
      <c r="I28" s="151"/>
      <c r="J28" s="117"/>
      <c r="K28" s="60">
        <v>350205</v>
      </c>
      <c r="L28" s="4">
        <v>299205</v>
      </c>
      <c r="M28" s="34">
        <v>350205</v>
      </c>
      <c r="N28" s="4">
        <v>323727</v>
      </c>
      <c r="O28" s="34">
        <v>350205</v>
      </c>
      <c r="P28" s="4">
        <v>310002</v>
      </c>
      <c r="Q28" s="151"/>
      <c r="R28" s="117"/>
      <c r="S28" s="151"/>
      <c r="T28" s="117"/>
      <c r="U28" s="60">
        <v>350205</v>
      </c>
      <c r="V28" s="4">
        <v>310002</v>
      </c>
      <c r="W28" s="34">
        <v>350205</v>
      </c>
      <c r="X28" s="4">
        <v>317322</v>
      </c>
      <c r="Y28" s="34">
        <v>350205</v>
      </c>
      <c r="Z28" s="4">
        <v>317322</v>
      </c>
      <c r="AA28" s="151"/>
      <c r="AB28" s="117"/>
      <c r="AC28" s="60">
        <v>350205</v>
      </c>
      <c r="AD28" s="4">
        <v>317322</v>
      </c>
      <c r="AE28" s="34">
        <v>350205</v>
      </c>
      <c r="AF28" s="4">
        <v>317322</v>
      </c>
      <c r="AG28" s="34">
        <v>350205</v>
      </c>
      <c r="AH28" s="4">
        <v>305061</v>
      </c>
      <c r="AI28" s="151">
        <f t="shared" si="10"/>
        <v>1050615</v>
      </c>
      <c r="AJ28" s="117">
        <f t="shared" si="10"/>
        <v>939705</v>
      </c>
      <c r="AK28" s="151">
        <f t="shared" si="11"/>
        <v>1050615</v>
      </c>
      <c r="AL28" s="117">
        <f t="shared" si="11"/>
        <v>939705</v>
      </c>
      <c r="AM28" s="129">
        <f t="shared" si="12"/>
        <v>4202460</v>
      </c>
      <c r="AN28" s="117">
        <f t="shared" si="13"/>
        <v>3714900</v>
      </c>
    </row>
    <row r="29" spans="1:40" ht="20.25" customHeight="1" x14ac:dyDescent="0.15">
      <c r="A29" s="23"/>
      <c r="B29" s="5" t="s">
        <v>24</v>
      </c>
      <c r="C29" s="34">
        <v>8023</v>
      </c>
      <c r="D29" s="4">
        <v>14900</v>
      </c>
      <c r="E29" s="34">
        <v>8023</v>
      </c>
      <c r="F29" s="4">
        <v>15040</v>
      </c>
      <c r="G29" s="34">
        <v>8023</v>
      </c>
      <c r="H29" s="4">
        <v>11468</v>
      </c>
      <c r="I29" s="151"/>
      <c r="J29" s="117"/>
      <c r="K29" s="60">
        <v>8023</v>
      </c>
      <c r="L29" s="4">
        <v>11350</v>
      </c>
      <c r="M29" s="34">
        <v>8023</v>
      </c>
      <c r="N29" s="4">
        <v>12680</v>
      </c>
      <c r="O29" s="34">
        <v>8023</v>
      </c>
      <c r="P29" s="4">
        <v>12114</v>
      </c>
      <c r="Q29" s="151"/>
      <c r="R29" s="117"/>
      <c r="S29" s="151"/>
      <c r="T29" s="117"/>
      <c r="U29" s="60">
        <v>8023</v>
      </c>
      <c r="V29" s="4">
        <v>12148</v>
      </c>
      <c r="W29" s="34">
        <v>8023</v>
      </c>
      <c r="X29" s="4">
        <v>20150</v>
      </c>
      <c r="Y29" s="34">
        <v>8023</v>
      </c>
      <c r="Z29" s="4">
        <v>20278</v>
      </c>
      <c r="AA29" s="151"/>
      <c r="AB29" s="117"/>
      <c r="AC29" s="60">
        <v>8023</v>
      </c>
      <c r="AD29" s="4">
        <v>20312</v>
      </c>
      <c r="AE29" s="34">
        <v>8023</v>
      </c>
      <c r="AF29" s="4">
        <v>20308</v>
      </c>
      <c r="AG29" s="34">
        <v>8023</v>
      </c>
      <c r="AH29" s="4">
        <v>18860</v>
      </c>
      <c r="AI29" s="151">
        <f t="shared" si="10"/>
        <v>24069</v>
      </c>
      <c r="AJ29" s="117">
        <f t="shared" si="10"/>
        <v>59480</v>
      </c>
      <c r="AK29" s="151">
        <f t="shared" si="11"/>
        <v>24069</v>
      </c>
      <c r="AL29" s="117">
        <f t="shared" si="11"/>
        <v>59480</v>
      </c>
      <c r="AM29" s="129">
        <f t="shared" si="12"/>
        <v>96276</v>
      </c>
      <c r="AN29" s="117">
        <f t="shared" si="13"/>
        <v>189608</v>
      </c>
    </row>
    <row r="30" spans="1:40" ht="20.25" customHeight="1" x14ac:dyDescent="0.15">
      <c r="A30" s="23"/>
      <c r="B30" s="5" t="s">
        <v>25</v>
      </c>
      <c r="C30" s="34">
        <v>20503</v>
      </c>
      <c r="D30" s="4">
        <v>31087.989000000001</v>
      </c>
      <c r="E30" s="34">
        <v>20503</v>
      </c>
      <c r="F30" s="4">
        <v>33857.417999999998</v>
      </c>
      <c r="G30" s="34">
        <v>20503</v>
      </c>
      <c r="H30" s="4">
        <v>32139.42</v>
      </c>
      <c r="I30" s="151"/>
      <c r="J30" s="117"/>
      <c r="K30" s="60">
        <v>20503</v>
      </c>
      <c r="L30" s="4">
        <v>32080.536</v>
      </c>
      <c r="M30" s="34">
        <v>20503</v>
      </c>
      <c r="N30" s="4">
        <v>32744.618999999999</v>
      </c>
      <c r="O30" s="34">
        <v>20503</v>
      </c>
      <c r="P30" s="4">
        <v>32462.73</v>
      </c>
      <c r="Q30" s="151"/>
      <c r="R30" s="117"/>
      <c r="S30" s="151"/>
      <c r="T30" s="117"/>
      <c r="U30" s="60">
        <v>20503</v>
      </c>
      <c r="V30" s="4">
        <v>32478.959999999999</v>
      </c>
      <c r="W30" s="34">
        <v>20503</v>
      </c>
      <c r="X30" s="4">
        <v>32449.89</v>
      </c>
      <c r="Y30" s="34">
        <v>20503</v>
      </c>
      <c r="Z30" s="4">
        <v>32488.26</v>
      </c>
      <c r="AA30" s="151"/>
      <c r="AB30" s="117"/>
      <c r="AC30" s="60">
        <v>20503</v>
      </c>
      <c r="AD30" s="4">
        <v>32498.55</v>
      </c>
      <c r="AE30" s="34">
        <v>20503</v>
      </c>
      <c r="AF30" s="4">
        <v>32497.302</v>
      </c>
      <c r="AG30" s="34">
        <v>20503</v>
      </c>
      <c r="AH30" s="4">
        <v>32062.904999999999</v>
      </c>
      <c r="AI30" s="151">
        <f t="shared" si="10"/>
        <v>61509</v>
      </c>
      <c r="AJ30" s="117">
        <f t="shared" si="10"/>
        <v>97058.756999999998</v>
      </c>
      <c r="AK30" s="151">
        <f t="shared" si="11"/>
        <v>61509</v>
      </c>
      <c r="AL30" s="117">
        <f t="shared" si="11"/>
        <v>97058.756999999998</v>
      </c>
      <c r="AM30" s="129">
        <f t="shared" si="12"/>
        <v>246036</v>
      </c>
      <c r="AN30" s="117">
        <f t="shared" si="13"/>
        <v>388848.57900000003</v>
      </c>
    </row>
    <row r="31" spans="1:40" ht="20.25" customHeight="1" thickBot="1" x14ac:dyDescent="0.2">
      <c r="A31" s="23"/>
      <c r="B31" s="6" t="s">
        <v>26</v>
      </c>
      <c r="C31" s="34">
        <v>114584</v>
      </c>
      <c r="D31" s="4">
        <v>106530</v>
      </c>
      <c r="E31" s="34">
        <v>114584</v>
      </c>
      <c r="F31" s="4">
        <v>107610</v>
      </c>
      <c r="G31" s="34">
        <v>114584</v>
      </c>
      <c r="H31" s="4">
        <v>129390</v>
      </c>
      <c r="I31" s="151"/>
      <c r="J31" s="117"/>
      <c r="K31" s="60">
        <v>114584</v>
      </c>
      <c r="L31" s="4">
        <v>127590</v>
      </c>
      <c r="M31" s="34">
        <v>114584</v>
      </c>
      <c r="N31" s="4">
        <v>117990</v>
      </c>
      <c r="O31" s="34">
        <v>114584</v>
      </c>
      <c r="P31" s="4">
        <v>115910</v>
      </c>
      <c r="Q31" s="151"/>
      <c r="R31" s="117"/>
      <c r="S31" s="151"/>
      <c r="T31" s="117"/>
      <c r="U31" s="60">
        <v>114584</v>
      </c>
      <c r="V31" s="4">
        <v>115070</v>
      </c>
      <c r="W31" s="34">
        <v>114584</v>
      </c>
      <c r="X31" s="4">
        <v>115630</v>
      </c>
      <c r="Y31" s="34">
        <v>114584</v>
      </c>
      <c r="Z31" s="4">
        <v>115070</v>
      </c>
      <c r="AA31" s="151"/>
      <c r="AB31" s="117"/>
      <c r="AC31" s="60">
        <v>114584</v>
      </c>
      <c r="AD31" s="4">
        <v>115350</v>
      </c>
      <c r="AE31" s="34">
        <v>114584</v>
      </c>
      <c r="AF31" s="4">
        <v>115070</v>
      </c>
      <c r="AG31" s="34">
        <v>114584</v>
      </c>
      <c r="AH31" s="4">
        <v>114510</v>
      </c>
      <c r="AI31" s="151">
        <f t="shared" si="10"/>
        <v>343752</v>
      </c>
      <c r="AJ31" s="117">
        <f>AD31+AF31+AH31</f>
        <v>344930</v>
      </c>
      <c r="AK31" s="151">
        <f t="shared" si="11"/>
        <v>343752</v>
      </c>
      <c r="AL31" s="117">
        <f t="shared" si="11"/>
        <v>344930</v>
      </c>
      <c r="AM31" s="129">
        <f t="shared" si="12"/>
        <v>1375008</v>
      </c>
      <c r="AN31" s="117">
        <f t="shared" si="13"/>
        <v>1395720</v>
      </c>
    </row>
    <row r="32" spans="1:40" ht="20.25" customHeight="1" thickTop="1" thickBot="1" x14ac:dyDescent="0.2">
      <c r="A32" s="24"/>
      <c r="B32" s="12" t="s">
        <v>27</v>
      </c>
      <c r="C32" s="39">
        <f>SUM(C23:C31)</f>
        <v>8303346</v>
      </c>
      <c r="D32" s="13">
        <f t="shared" ref="D32:AL32" si="14">SUM(D23:D31)</f>
        <v>10958222.989</v>
      </c>
      <c r="E32" s="39">
        <f t="shared" si="14"/>
        <v>8303346</v>
      </c>
      <c r="F32" s="13">
        <f t="shared" si="14"/>
        <v>11880225.418</v>
      </c>
      <c r="G32" s="39">
        <f t="shared" si="14"/>
        <v>8303346</v>
      </c>
      <c r="H32" s="13">
        <f t="shared" si="14"/>
        <v>11302269.42</v>
      </c>
      <c r="I32" s="39">
        <f t="shared" si="14"/>
        <v>0</v>
      </c>
      <c r="J32" s="13">
        <f t="shared" ref="J32:J59" si="15">D32+F32+H32</f>
        <v>34140717.827</v>
      </c>
      <c r="K32" s="65">
        <f t="shared" si="14"/>
        <v>8303346</v>
      </c>
      <c r="L32" s="13">
        <f t="shared" si="14"/>
        <v>11282464.536</v>
      </c>
      <c r="M32" s="39">
        <f t="shared" si="14"/>
        <v>8303346</v>
      </c>
      <c r="N32" s="13">
        <f t="shared" si="14"/>
        <v>11545134.619000001</v>
      </c>
      <c r="O32" s="39">
        <f t="shared" si="14"/>
        <v>8303346</v>
      </c>
      <c r="P32" s="13">
        <f t="shared" si="14"/>
        <v>11441979.73</v>
      </c>
      <c r="Q32" s="39">
        <f t="shared" si="14"/>
        <v>0</v>
      </c>
      <c r="R32" s="13">
        <f t="shared" si="14"/>
        <v>0</v>
      </c>
      <c r="S32" s="39">
        <f t="shared" si="14"/>
        <v>0</v>
      </c>
      <c r="T32" s="13">
        <f t="shared" si="14"/>
        <v>0</v>
      </c>
      <c r="U32" s="65">
        <f t="shared" si="14"/>
        <v>8303346</v>
      </c>
      <c r="V32" s="13">
        <f t="shared" si="14"/>
        <v>11447439.960000001</v>
      </c>
      <c r="W32" s="39">
        <f t="shared" si="14"/>
        <v>8303346</v>
      </c>
      <c r="X32" s="13">
        <f>SUM(X23:X31)</f>
        <v>11457786.890000001</v>
      </c>
      <c r="Y32" s="39">
        <f t="shared" si="14"/>
        <v>8303346</v>
      </c>
      <c r="Z32" s="13">
        <f t="shared" si="14"/>
        <v>11470743.26</v>
      </c>
      <c r="AA32" s="39">
        <f t="shared" si="14"/>
        <v>0</v>
      </c>
      <c r="AB32" s="13">
        <f t="shared" si="14"/>
        <v>0</v>
      </c>
      <c r="AC32" s="65">
        <f t="shared" si="14"/>
        <v>8303346</v>
      </c>
      <c r="AD32" s="13">
        <f t="shared" si="14"/>
        <v>11474217.550000001</v>
      </c>
      <c r="AE32" s="39">
        <f t="shared" si="14"/>
        <v>8303346</v>
      </c>
      <c r="AF32" s="13">
        <f t="shared" si="14"/>
        <v>22373796.302000001</v>
      </c>
      <c r="AG32" s="39">
        <f t="shared" si="14"/>
        <v>8303346</v>
      </c>
      <c r="AH32" s="13">
        <f t="shared" si="14"/>
        <v>11306907.904999999</v>
      </c>
      <c r="AI32" s="39">
        <f t="shared" si="14"/>
        <v>24910038</v>
      </c>
      <c r="AJ32" s="13">
        <f t="shared" si="14"/>
        <v>45154921.756999999</v>
      </c>
      <c r="AK32" s="39">
        <f t="shared" si="14"/>
        <v>24910038</v>
      </c>
      <c r="AL32" s="13">
        <f t="shared" si="14"/>
        <v>45154921.756999999</v>
      </c>
      <c r="AM32" s="65">
        <f t="shared" si="12"/>
        <v>99640152</v>
      </c>
      <c r="AN32" s="13">
        <f t="shared" si="13"/>
        <v>147941188.579</v>
      </c>
    </row>
    <row r="33" spans="1:40" ht="20.25" customHeight="1" x14ac:dyDescent="0.15">
      <c r="A33" s="25" t="s">
        <v>34</v>
      </c>
      <c r="B33" s="3" t="s">
        <v>35</v>
      </c>
      <c r="C33" s="34">
        <v>51700</v>
      </c>
      <c r="D33" s="4">
        <v>47154</v>
      </c>
      <c r="E33" s="34">
        <v>51700</v>
      </c>
      <c r="F33" s="4">
        <v>92223</v>
      </c>
      <c r="G33" s="34">
        <v>51700</v>
      </c>
      <c r="H33" s="4">
        <v>42828</v>
      </c>
      <c r="I33" s="151"/>
      <c r="J33" s="117"/>
      <c r="K33" s="60">
        <v>51700</v>
      </c>
      <c r="L33" s="4">
        <v>42171</v>
      </c>
      <c r="M33" s="34">
        <v>51700</v>
      </c>
      <c r="N33" s="4">
        <v>51281</v>
      </c>
      <c r="O33" s="34">
        <v>51700</v>
      </c>
      <c r="P33" s="4">
        <v>178923</v>
      </c>
      <c r="Q33" s="151"/>
      <c r="R33" s="117"/>
      <c r="S33" s="151"/>
      <c r="T33" s="117"/>
      <c r="U33" s="60">
        <v>51700</v>
      </c>
      <c r="V33" s="4">
        <v>53642</v>
      </c>
      <c r="W33" s="34">
        <v>51700</v>
      </c>
      <c r="X33" s="4">
        <v>49182</v>
      </c>
      <c r="Y33" s="34">
        <v>51700</v>
      </c>
      <c r="Z33" s="4">
        <v>52275</v>
      </c>
      <c r="AA33" s="151"/>
      <c r="AB33" s="117"/>
      <c r="AC33" s="60">
        <v>51700</v>
      </c>
      <c r="AD33" s="4">
        <v>47946</v>
      </c>
      <c r="AE33" s="34">
        <v>51700</v>
      </c>
      <c r="AF33" s="4">
        <v>136100</v>
      </c>
      <c r="AG33" s="34">
        <v>51700</v>
      </c>
      <c r="AH33" s="4">
        <v>38000</v>
      </c>
      <c r="AI33" s="151">
        <f>AC33+AE33+AG33</f>
        <v>155100</v>
      </c>
      <c r="AJ33" s="117">
        <f>AD33+AF33+AH33</f>
        <v>222046</v>
      </c>
      <c r="AK33" s="151">
        <f t="shared" ref="AK33:AL57" si="16">AA33+AI33</f>
        <v>155100</v>
      </c>
      <c r="AL33" s="117">
        <f t="shared" si="16"/>
        <v>222046</v>
      </c>
      <c r="AM33" s="129">
        <f t="shared" si="12"/>
        <v>620400</v>
      </c>
      <c r="AN33" s="117">
        <f t="shared" si="13"/>
        <v>831725</v>
      </c>
    </row>
    <row r="34" spans="1:40" ht="20.25" customHeight="1" x14ac:dyDescent="0.15">
      <c r="A34" s="23"/>
      <c r="B34" s="5" t="s">
        <v>36</v>
      </c>
      <c r="C34" s="34">
        <v>88000</v>
      </c>
      <c r="D34" s="4">
        <v>71338</v>
      </c>
      <c r="E34" s="34">
        <v>88000</v>
      </c>
      <c r="F34" s="4">
        <v>82626</v>
      </c>
      <c r="G34" s="34">
        <v>88000</v>
      </c>
      <c r="H34" s="4">
        <v>81368</v>
      </c>
      <c r="I34" s="151"/>
      <c r="J34" s="117"/>
      <c r="K34" s="60">
        <v>88000</v>
      </c>
      <c r="L34" s="4">
        <v>42257</v>
      </c>
      <c r="M34" s="34">
        <v>88000</v>
      </c>
      <c r="N34" s="4">
        <v>114731</v>
      </c>
      <c r="O34" s="34">
        <v>88000</v>
      </c>
      <c r="P34" s="4">
        <v>19633</v>
      </c>
      <c r="Q34" s="151"/>
      <c r="R34" s="117"/>
      <c r="S34" s="151"/>
      <c r="T34" s="117"/>
      <c r="U34" s="60">
        <v>88000</v>
      </c>
      <c r="V34" s="4">
        <v>54337</v>
      </c>
      <c r="W34" s="34">
        <v>88000</v>
      </c>
      <c r="X34" s="4">
        <v>28111</v>
      </c>
      <c r="Y34" s="34">
        <v>88000</v>
      </c>
      <c r="Z34" s="4">
        <v>144989</v>
      </c>
      <c r="AA34" s="151"/>
      <c r="AB34" s="117"/>
      <c r="AC34" s="60">
        <v>88000</v>
      </c>
      <c r="AD34" s="4">
        <v>74694</v>
      </c>
      <c r="AE34" s="34">
        <v>88000</v>
      </c>
      <c r="AF34" s="4">
        <v>67631</v>
      </c>
      <c r="AG34" s="34">
        <v>88000</v>
      </c>
      <c r="AH34" s="4">
        <v>76869</v>
      </c>
      <c r="AI34" s="151">
        <f t="shared" ref="AI34:AJ57" si="17">AC34+AE34+AG34</f>
        <v>264000</v>
      </c>
      <c r="AJ34" s="117">
        <f t="shared" si="17"/>
        <v>219194</v>
      </c>
      <c r="AK34" s="151">
        <f t="shared" si="16"/>
        <v>264000</v>
      </c>
      <c r="AL34" s="117">
        <f t="shared" si="16"/>
        <v>219194</v>
      </c>
      <c r="AM34" s="129">
        <f t="shared" si="12"/>
        <v>1056000</v>
      </c>
      <c r="AN34" s="117">
        <f t="shared" si="13"/>
        <v>858584</v>
      </c>
    </row>
    <row r="35" spans="1:40" ht="20.25" customHeight="1" x14ac:dyDescent="0.15">
      <c r="A35" s="23"/>
      <c r="B35" s="5" t="s">
        <v>37</v>
      </c>
      <c r="C35" s="34">
        <v>586769</v>
      </c>
      <c r="D35" s="4">
        <v>598037</v>
      </c>
      <c r="E35" s="34">
        <v>586769</v>
      </c>
      <c r="F35" s="4">
        <v>598037</v>
      </c>
      <c r="G35" s="34">
        <v>586769</v>
      </c>
      <c r="H35" s="4">
        <v>598037</v>
      </c>
      <c r="I35" s="151"/>
      <c r="J35" s="117"/>
      <c r="K35" s="60">
        <v>586769</v>
      </c>
      <c r="L35" s="4">
        <v>598037</v>
      </c>
      <c r="M35" s="34">
        <v>586769</v>
      </c>
      <c r="N35" s="4">
        <v>598037</v>
      </c>
      <c r="O35" s="34">
        <v>586769</v>
      </c>
      <c r="P35" s="4">
        <v>598037</v>
      </c>
      <c r="Q35" s="151"/>
      <c r="R35" s="117"/>
      <c r="S35" s="151"/>
      <c r="T35" s="117"/>
      <c r="U35" s="60">
        <v>586769</v>
      </c>
      <c r="V35" s="4">
        <v>598037</v>
      </c>
      <c r="W35" s="34">
        <v>586769</v>
      </c>
      <c r="X35" s="4">
        <v>598037</v>
      </c>
      <c r="Y35" s="34">
        <v>586769</v>
      </c>
      <c r="Z35" s="4">
        <v>598037</v>
      </c>
      <c r="AA35" s="151"/>
      <c r="AB35" s="117"/>
      <c r="AC35" s="60">
        <v>586769</v>
      </c>
      <c r="AD35" s="4">
        <v>598037</v>
      </c>
      <c r="AE35" s="34">
        <v>586769</v>
      </c>
      <c r="AF35" s="4">
        <v>598037</v>
      </c>
      <c r="AG35" s="34">
        <v>586769</v>
      </c>
      <c r="AH35" s="4">
        <v>598037</v>
      </c>
      <c r="AI35" s="151">
        <f t="shared" si="17"/>
        <v>1760307</v>
      </c>
      <c r="AJ35" s="117">
        <f t="shared" si="17"/>
        <v>1794111</v>
      </c>
      <c r="AK35" s="151">
        <f t="shared" si="16"/>
        <v>1760307</v>
      </c>
      <c r="AL35" s="117">
        <f t="shared" si="16"/>
        <v>1794111</v>
      </c>
      <c r="AM35" s="129">
        <f t="shared" si="12"/>
        <v>7041228</v>
      </c>
      <c r="AN35" s="117">
        <f t="shared" si="13"/>
        <v>7176444</v>
      </c>
    </row>
    <row r="36" spans="1:40" ht="20.25" customHeight="1" x14ac:dyDescent="0.15">
      <c r="A36" s="23"/>
      <c r="B36" s="5" t="s">
        <v>38</v>
      </c>
      <c r="C36" s="34">
        <v>304843</v>
      </c>
      <c r="D36" s="4">
        <v>594904</v>
      </c>
      <c r="E36" s="34">
        <v>304843</v>
      </c>
      <c r="F36" s="4">
        <v>594904</v>
      </c>
      <c r="G36" s="34">
        <v>304843</v>
      </c>
      <c r="H36" s="4">
        <v>531904</v>
      </c>
      <c r="I36" s="151"/>
      <c r="J36" s="117"/>
      <c r="K36" s="60">
        <v>304843</v>
      </c>
      <c r="L36" s="4">
        <v>531904</v>
      </c>
      <c r="M36" s="34">
        <v>304843</v>
      </c>
      <c r="N36" s="4">
        <v>537955</v>
      </c>
      <c r="O36" s="34">
        <v>304843</v>
      </c>
      <c r="P36" s="4">
        <v>531904</v>
      </c>
      <c r="Q36" s="151"/>
      <c r="R36" s="117"/>
      <c r="S36" s="151"/>
      <c r="T36" s="117"/>
      <c r="U36" s="60">
        <v>304843</v>
      </c>
      <c r="V36" s="4">
        <v>531904</v>
      </c>
      <c r="W36" s="34">
        <v>304843</v>
      </c>
      <c r="X36" s="4">
        <v>532384</v>
      </c>
      <c r="Y36" s="34">
        <v>304843</v>
      </c>
      <c r="Z36" s="4">
        <v>536884</v>
      </c>
      <c r="AA36" s="151"/>
      <c r="AB36" s="117"/>
      <c r="AC36" s="60">
        <v>304843</v>
      </c>
      <c r="AD36" s="4">
        <v>536884</v>
      </c>
      <c r="AE36" s="34">
        <v>304843</v>
      </c>
      <c r="AF36" s="4">
        <v>536884</v>
      </c>
      <c r="AG36" s="34">
        <v>304843</v>
      </c>
      <c r="AH36" s="4">
        <v>536884</v>
      </c>
      <c r="AI36" s="151">
        <f t="shared" si="17"/>
        <v>914529</v>
      </c>
      <c r="AJ36" s="117">
        <f t="shared" si="17"/>
        <v>1610652</v>
      </c>
      <c r="AK36" s="151">
        <f t="shared" si="16"/>
        <v>914529</v>
      </c>
      <c r="AL36" s="117">
        <f t="shared" si="16"/>
        <v>1610652</v>
      </c>
      <c r="AM36" s="129">
        <f t="shared" si="12"/>
        <v>3658116</v>
      </c>
      <c r="AN36" s="117">
        <f t="shared" si="13"/>
        <v>6535299</v>
      </c>
    </row>
    <row r="37" spans="1:40" ht="20.25" customHeight="1" x14ac:dyDescent="0.15">
      <c r="A37" s="23"/>
      <c r="B37" s="5" t="s">
        <v>39</v>
      </c>
      <c r="C37" s="34">
        <v>161340</v>
      </c>
      <c r="D37" s="4">
        <v>306230</v>
      </c>
      <c r="E37" s="34">
        <v>161340</v>
      </c>
      <c r="F37" s="4">
        <v>161340</v>
      </c>
      <c r="G37" s="34">
        <v>161340</v>
      </c>
      <c r="H37" s="4">
        <v>161340</v>
      </c>
      <c r="I37" s="151"/>
      <c r="J37" s="117"/>
      <c r="K37" s="60">
        <v>161340</v>
      </c>
      <c r="L37" s="4">
        <v>158670</v>
      </c>
      <c r="M37" s="34">
        <v>161340</v>
      </c>
      <c r="N37" s="4">
        <v>199520</v>
      </c>
      <c r="O37" s="34">
        <v>161340</v>
      </c>
      <c r="P37" s="4">
        <v>196690</v>
      </c>
      <c r="Q37" s="151"/>
      <c r="R37" s="117"/>
      <c r="S37" s="151"/>
      <c r="T37" s="117"/>
      <c r="U37" s="60">
        <v>161340</v>
      </c>
      <c r="V37" s="4">
        <v>180430</v>
      </c>
      <c r="W37" s="34">
        <v>161340</v>
      </c>
      <c r="X37" s="4">
        <v>180430</v>
      </c>
      <c r="Y37" s="34">
        <v>161340</v>
      </c>
      <c r="Z37" s="4">
        <v>226990</v>
      </c>
      <c r="AA37" s="151"/>
      <c r="AB37" s="117"/>
      <c r="AC37" s="60">
        <v>161340</v>
      </c>
      <c r="AD37" s="4">
        <v>139420</v>
      </c>
      <c r="AE37" s="34">
        <v>161340</v>
      </c>
      <c r="AF37" s="4">
        <v>359910</v>
      </c>
      <c r="AG37" s="34">
        <v>161340</v>
      </c>
      <c r="AH37" s="4">
        <v>202290</v>
      </c>
      <c r="AI37" s="151">
        <f t="shared" si="17"/>
        <v>484020</v>
      </c>
      <c r="AJ37" s="117">
        <f t="shared" si="17"/>
        <v>701620</v>
      </c>
      <c r="AK37" s="151">
        <f t="shared" si="16"/>
        <v>484020</v>
      </c>
      <c r="AL37" s="117">
        <f t="shared" si="16"/>
        <v>701620</v>
      </c>
      <c r="AM37" s="129">
        <f t="shared" si="12"/>
        <v>1936080</v>
      </c>
      <c r="AN37" s="117">
        <f t="shared" si="13"/>
        <v>2473260</v>
      </c>
    </row>
    <row r="38" spans="1:40" ht="20.25" customHeight="1" x14ac:dyDescent="0.15">
      <c r="A38" s="23"/>
      <c r="B38" s="5" t="s">
        <v>40</v>
      </c>
      <c r="C38" s="34">
        <v>25000</v>
      </c>
      <c r="D38" s="4"/>
      <c r="E38" s="34">
        <v>25000</v>
      </c>
      <c r="F38" s="4"/>
      <c r="G38" s="34">
        <v>25000</v>
      </c>
      <c r="H38" s="4"/>
      <c r="I38" s="151"/>
      <c r="J38" s="117"/>
      <c r="K38" s="60">
        <v>25000</v>
      </c>
      <c r="L38" s="4"/>
      <c r="M38" s="34">
        <v>25000</v>
      </c>
      <c r="N38" s="4"/>
      <c r="O38" s="34">
        <v>25000</v>
      </c>
      <c r="P38" s="4"/>
      <c r="Q38" s="151"/>
      <c r="R38" s="117"/>
      <c r="S38" s="151"/>
      <c r="T38" s="117"/>
      <c r="U38" s="60">
        <v>25000</v>
      </c>
      <c r="V38" s="4"/>
      <c r="W38" s="34">
        <v>25000</v>
      </c>
      <c r="X38" s="4"/>
      <c r="Y38" s="34">
        <v>25000</v>
      </c>
      <c r="Z38" s="4"/>
      <c r="AA38" s="151"/>
      <c r="AB38" s="117"/>
      <c r="AC38" s="60">
        <v>25000</v>
      </c>
      <c r="AD38" s="4"/>
      <c r="AE38" s="34">
        <v>25000</v>
      </c>
      <c r="AF38" s="4"/>
      <c r="AG38" s="34">
        <v>25000</v>
      </c>
      <c r="AH38" s="4"/>
      <c r="AI38" s="151">
        <f t="shared" si="17"/>
        <v>75000</v>
      </c>
      <c r="AJ38" s="117">
        <f t="shared" si="17"/>
        <v>0</v>
      </c>
      <c r="AK38" s="151">
        <f t="shared" si="16"/>
        <v>75000</v>
      </c>
      <c r="AL38" s="117">
        <f t="shared" si="16"/>
        <v>0</v>
      </c>
      <c r="AM38" s="129">
        <f t="shared" si="12"/>
        <v>300000</v>
      </c>
      <c r="AN38" s="117">
        <f t="shared" si="13"/>
        <v>0</v>
      </c>
    </row>
    <row r="39" spans="1:40" ht="20.25" customHeight="1" x14ac:dyDescent="0.15">
      <c r="A39" s="23"/>
      <c r="B39" s="5" t="s">
        <v>41</v>
      </c>
      <c r="C39" s="34">
        <v>192264</v>
      </c>
      <c r="D39" s="4">
        <v>24742</v>
      </c>
      <c r="E39" s="34">
        <v>192264</v>
      </c>
      <c r="F39" s="4">
        <v>9862</v>
      </c>
      <c r="G39" s="34">
        <v>192264</v>
      </c>
      <c r="H39" s="4">
        <v>5849</v>
      </c>
      <c r="I39" s="151"/>
      <c r="J39" s="117"/>
      <c r="K39" s="60">
        <v>192264</v>
      </c>
      <c r="L39" s="4"/>
      <c r="M39" s="34">
        <v>192264</v>
      </c>
      <c r="N39" s="4">
        <v>13224</v>
      </c>
      <c r="O39" s="34">
        <v>192264</v>
      </c>
      <c r="P39" s="4">
        <v>10393</v>
      </c>
      <c r="Q39" s="151"/>
      <c r="R39" s="117"/>
      <c r="S39" s="151"/>
      <c r="T39" s="117"/>
      <c r="U39" s="60">
        <v>192264</v>
      </c>
      <c r="V39" s="4">
        <v>17003</v>
      </c>
      <c r="W39" s="34">
        <v>192264</v>
      </c>
      <c r="X39" s="4">
        <v>12285</v>
      </c>
      <c r="Y39" s="34">
        <v>192264</v>
      </c>
      <c r="Z39" s="4">
        <v>29428</v>
      </c>
      <c r="AA39" s="151"/>
      <c r="AB39" s="117"/>
      <c r="AC39" s="60">
        <v>192264</v>
      </c>
      <c r="AD39" s="4">
        <v>10260</v>
      </c>
      <c r="AE39" s="34">
        <v>192264</v>
      </c>
      <c r="AF39" s="4">
        <v>6607</v>
      </c>
      <c r="AG39" s="34">
        <v>192264</v>
      </c>
      <c r="AH39" s="4">
        <v>10279</v>
      </c>
      <c r="AI39" s="151">
        <f t="shared" si="17"/>
        <v>576792</v>
      </c>
      <c r="AJ39" s="117">
        <f t="shared" si="17"/>
        <v>27146</v>
      </c>
      <c r="AK39" s="151">
        <f t="shared" si="16"/>
        <v>576792</v>
      </c>
      <c r="AL39" s="117">
        <f t="shared" si="16"/>
        <v>27146</v>
      </c>
      <c r="AM39" s="129">
        <f t="shared" si="12"/>
        <v>2307168</v>
      </c>
      <c r="AN39" s="117">
        <f t="shared" si="13"/>
        <v>149932</v>
      </c>
    </row>
    <row r="40" spans="1:40" ht="20.25" customHeight="1" x14ac:dyDescent="0.15">
      <c r="A40" s="23"/>
      <c r="B40" s="5" t="s">
        <v>42</v>
      </c>
      <c r="C40" s="34">
        <v>5000</v>
      </c>
      <c r="D40" s="4">
        <v>2300</v>
      </c>
      <c r="E40" s="34">
        <v>5000</v>
      </c>
      <c r="F40" s="4"/>
      <c r="G40" s="34">
        <v>5000</v>
      </c>
      <c r="H40" s="4"/>
      <c r="I40" s="151"/>
      <c r="J40" s="117"/>
      <c r="K40" s="60">
        <v>5000</v>
      </c>
      <c r="L40" s="4"/>
      <c r="M40" s="34">
        <v>5000</v>
      </c>
      <c r="N40" s="4">
        <v>2000</v>
      </c>
      <c r="O40" s="34">
        <v>5000</v>
      </c>
      <c r="P40" s="4"/>
      <c r="Q40" s="151"/>
      <c r="R40" s="117"/>
      <c r="S40" s="151"/>
      <c r="T40" s="117"/>
      <c r="U40" s="60">
        <v>5000</v>
      </c>
      <c r="V40" s="4"/>
      <c r="W40" s="34">
        <v>5000</v>
      </c>
      <c r="X40" s="4"/>
      <c r="Y40" s="34">
        <v>5000</v>
      </c>
      <c r="Z40" s="4"/>
      <c r="AA40" s="151"/>
      <c r="AB40" s="117"/>
      <c r="AC40" s="60">
        <v>5000</v>
      </c>
      <c r="AD40" s="4"/>
      <c r="AE40" s="34">
        <v>5000</v>
      </c>
      <c r="AF40" s="4">
        <v>920</v>
      </c>
      <c r="AG40" s="34">
        <v>5000</v>
      </c>
      <c r="AH40" s="4"/>
      <c r="AI40" s="151">
        <f t="shared" si="17"/>
        <v>15000</v>
      </c>
      <c r="AJ40" s="117">
        <f t="shared" si="17"/>
        <v>920</v>
      </c>
      <c r="AK40" s="151">
        <f t="shared" si="16"/>
        <v>15000</v>
      </c>
      <c r="AL40" s="117">
        <f t="shared" si="16"/>
        <v>920</v>
      </c>
      <c r="AM40" s="129">
        <f t="shared" si="12"/>
        <v>60000</v>
      </c>
      <c r="AN40" s="117">
        <f t="shared" si="13"/>
        <v>5220</v>
      </c>
    </row>
    <row r="41" spans="1:40" ht="20.25" customHeight="1" x14ac:dyDescent="0.15">
      <c r="A41" s="23"/>
      <c r="B41" s="5" t="s">
        <v>43</v>
      </c>
      <c r="C41" s="34">
        <v>80000</v>
      </c>
      <c r="D41" s="4">
        <v>43796</v>
      </c>
      <c r="E41" s="34">
        <v>80000</v>
      </c>
      <c r="F41" s="4">
        <v>104541</v>
      </c>
      <c r="G41" s="34">
        <v>80000</v>
      </c>
      <c r="H41" s="4">
        <v>72583</v>
      </c>
      <c r="I41" s="151"/>
      <c r="J41" s="117"/>
      <c r="K41" s="60">
        <v>80000</v>
      </c>
      <c r="L41" s="4">
        <v>58768</v>
      </c>
      <c r="M41" s="34">
        <v>80000</v>
      </c>
      <c r="N41" s="4">
        <v>109186</v>
      </c>
      <c r="O41" s="34">
        <v>80000</v>
      </c>
      <c r="P41" s="4">
        <v>118362</v>
      </c>
      <c r="Q41" s="151"/>
      <c r="R41" s="117"/>
      <c r="S41" s="151"/>
      <c r="T41" s="117"/>
      <c r="U41" s="60">
        <v>80000</v>
      </c>
      <c r="V41" s="4">
        <v>30988</v>
      </c>
      <c r="W41" s="34">
        <v>80000</v>
      </c>
      <c r="X41" s="4">
        <v>41074</v>
      </c>
      <c r="Y41" s="34">
        <v>80000</v>
      </c>
      <c r="Z41" s="4">
        <v>82193</v>
      </c>
      <c r="AA41" s="151"/>
      <c r="AB41" s="117"/>
      <c r="AC41" s="60">
        <v>80000</v>
      </c>
      <c r="AD41" s="4">
        <v>56346</v>
      </c>
      <c r="AE41" s="34">
        <v>80000</v>
      </c>
      <c r="AF41" s="4">
        <v>32874</v>
      </c>
      <c r="AG41" s="34">
        <v>80000</v>
      </c>
      <c r="AH41" s="4">
        <v>51418</v>
      </c>
      <c r="AI41" s="151">
        <f t="shared" si="17"/>
        <v>240000</v>
      </c>
      <c r="AJ41" s="117">
        <f t="shared" si="17"/>
        <v>140638</v>
      </c>
      <c r="AK41" s="151">
        <f t="shared" si="16"/>
        <v>240000</v>
      </c>
      <c r="AL41" s="117">
        <f t="shared" si="16"/>
        <v>140638</v>
      </c>
      <c r="AM41" s="129">
        <f t="shared" si="12"/>
        <v>960000</v>
      </c>
      <c r="AN41" s="117">
        <f t="shared" si="13"/>
        <v>802129</v>
      </c>
    </row>
    <row r="42" spans="1:40" ht="20.25" customHeight="1" x14ac:dyDescent="0.15">
      <c r="A42" s="23"/>
      <c r="B42" s="5" t="s">
        <v>44</v>
      </c>
      <c r="C42" s="34">
        <v>200000</v>
      </c>
      <c r="D42" s="4"/>
      <c r="E42" s="34">
        <v>200000</v>
      </c>
      <c r="F42" s="4">
        <v>1169450</v>
      </c>
      <c r="G42" s="34">
        <v>200000</v>
      </c>
      <c r="H42" s="4">
        <v>111900</v>
      </c>
      <c r="I42" s="151"/>
      <c r="J42" s="117"/>
      <c r="K42" s="60">
        <v>200000</v>
      </c>
      <c r="L42" s="4">
        <v>24912</v>
      </c>
      <c r="M42" s="34">
        <v>200000</v>
      </c>
      <c r="N42" s="4"/>
      <c r="O42" s="34">
        <v>200000</v>
      </c>
      <c r="P42" s="4"/>
      <c r="Q42" s="151"/>
      <c r="R42" s="117"/>
      <c r="S42" s="151"/>
      <c r="T42" s="117"/>
      <c r="U42" s="60">
        <v>200000</v>
      </c>
      <c r="V42" s="4"/>
      <c r="W42" s="34">
        <v>200000</v>
      </c>
      <c r="X42" s="4">
        <v>3650</v>
      </c>
      <c r="Y42" s="34">
        <v>200000</v>
      </c>
      <c r="Z42" s="4">
        <v>9900</v>
      </c>
      <c r="AA42" s="151"/>
      <c r="AB42" s="117"/>
      <c r="AC42" s="60">
        <v>200000</v>
      </c>
      <c r="AD42" s="4">
        <v>2400</v>
      </c>
      <c r="AE42" s="34">
        <v>200000</v>
      </c>
      <c r="AF42" s="4">
        <v>3900</v>
      </c>
      <c r="AG42" s="34">
        <v>200000</v>
      </c>
      <c r="AH42" s="4">
        <v>39662</v>
      </c>
      <c r="AI42" s="151">
        <f t="shared" si="17"/>
        <v>600000</v>
      </c>
      <c r="AJ42" s="117">
        <f t="shared" si="17"/>
        <v>45962</v>
      </c>
      <c r="AK42" s="151">
        <f t="shared" si="16"/>
        <v>600000</v>
      </c>
      <c r="AL42" s="117">
        <f t="shared" si="16"/>
        <v>45962</v>
      </c>
      <c r="AM42" s="129">
        <f t="shared" si="12"/>
        <v>2400000</v>
      </c>
      <c r="AN42" s="117">
        <f t="shared" si="13"/>
        <v>1365774</v>
      </c>
    </row>
    <row r="43" spans="1:40" ht="20.25" customHeight="1" x14ac:dyDescent="0.15">
      <c r="A43" s="23"/>
      <c r="B43" s="5" t="s">
        <v>45</v>
      </c>
      <c r="C43" s="34">
        <v>556000</v>
      </c>
      <c r="D43" s="4">
        <v>455469</v>
      </c>
      <c r="E43" s="34">
        <v>556000</v>
      </c>
      <c r="F43" s="4">
        <v>710228</v>
      </c>
      <c r="G43" s="34">
        <v>556000</v>
      </c>
      <c r="H43" s="4">
        <v>917531</v>
      </c>
      <c r="I43" s="151"/>
      <c r="J43" s="117"/>
      <c r="K43" s="60">
        <v>556000</v>
      </c>
      <c r="L43" s="4">
        <v>504735</v>
      </c>
      <c r="M43" s="34">
        <v>556000</v>
      </c>
      <c r="N43" s="4">
        <v>890915</v>
      </c>
      <c r="O43" s="34">
        <v>556000</v>
      </c>
      <c r="P43" s="4">
        <v>663194</v>
      </c>
      <c r="Q43" s="151"/>
      <c r="R43" s="117"/>
      <c r="S43" s="151"/>
      <c r="T43" s="117"/>
      <c r="U43" s="60">
        <v>556000</v>
      </c>
      <c r="V43" s="4">
        <v>661210</v>
      </c>
      <c r="W43" s="34">
        <v>556000</v>
      </c>
      <c r="X43" s="4">
        <v>696194</v>
      </c>
      <c r="Y43" s="34">
        <v>556000</v>
      </c>
      <c r="Z43" s="4">
        <v>774432</v>
      </c>
      <c r="AA43" s="151"/>
      <c r="AB43" s="117"/>
      <c r="AC43" s="60">
        <v>556000</v>
      </c>
      <c r="AD43" s="4">
        <v>514092</v>
      </c>
      <c r="AE43" s="34">
        <v>556000</v>
      </c>
      <c r="AF43" s="4">
        <v>479650</v>
      </c>
      <c r="AG43" s="34">
        <v>556000</v>
      </c>
      <c r="AH43" s="4">
        <v>628019</v>
      </c>
      <c r="AI43" s="151">
        <f t="shared" si="17"/>
        <v>1668000</v>
      </c>
      <c r="AJ43" s="117">
        <f t="shared" si="17"/>
        <v>1621761</v>
      </c>
      <c r="AK43" s="151">
        <f t="shared" si="16"/>
        <v>1668000</v>
      </c>
      <c r="AL43" s="117">
        <f t="shared" si="16"/>
        <v>1621761</v>
      </c>
      <c r="AM43" s="129">
        <f t="shared" si="12"/>
        <v>6672000</v>
      </c>
      <c r="AN43" s="117">
        <f t="shared" si="13"/>
        <v>7895669</v>
      </c>
    </row>
    <row r="44" spans="1:40" ht="20.25" customHeight="1" x14ac:dyDescent="0.15">
      <c r="A44" s="23"/>
      <c r="B44" s="5" t="s">
        <v>46</v>
      </c>
      <c r="C44" s="34">
        <v>67000</v>
      </c>
      <c r="D44" s="4">
        <v>53323</v>
      </c>
      <c r="E44" s="34">
        <v>67000</v>
      </c>
      <c r="F44" s="4">
        <v>74821</v>
      </c>
      <c r="G44" s="34">
        <v>67000</v>
      </c>
      <c r="H44" s="4">
        <v>73880</v>
      </c>
      <c r="I44" s="151"/>
      <c r="J44" s="117"/>
      <c r="K44" s="60">
        <v>67000</v>
      </c>
      <c r="L44" s="4">
        <v>130180</v>
      </c>
      <c r="M44" s="34">
        <v>67000</v>
      </c>
      <c r="N44" s="4">
        <v>70990</v>
      </c>
      <c r="O44" s="34">
        <v>67000</v>
      </c>
      <c r="P44" s="4">
        <v>62913</v>
      </c>
      <c r="Q44" s="151"/>
      <c r="R44" s="117"/>
      <c r="S44" s="151"/>
      <c r="T44" s="117"/>
      <c r="U44" s="60">
        <v>67000</v>
      </c>
      <c r="V44" s="4">
        <v>65139</v>
      </c>
      <c r="W44" s="34">
        <v>67000</v>
      </c>
      <c r="X44" s="4">
        <v>63174</v>
      </c>
      <c r="Y44" s="34">
        <v>67000</v>
      </c>
      <c r="Z44" s="4">
        <v>69062</v>
      </c>
      <c r="AA44" s="151"/>
      <c r="AB44" s="117"/>
      <c r="AC44" s="60">
        <v>67000</v>
      </c>
      <c r="AD44" s="4">
        <v>47091</v>
      </c>
      <c r="AE44" s="34">
        <v>67000</v>
      </c>
      <c r="AF44" s="4">
        <v>86692</v>
      </c>
      <c r="AG44" s="34">
        <v>67000</v>
      </c>
      <c r="AH44" s="4">
        <v>118422</v>
      </c>
      <c r="AI44" s="151">
        <f t="shared" si="17"/>
        <v>201000</v>
      </c>
      <c r="AJ44" s="117">
        <f t="shared" si="17"/>
        <v>252205</v>
      </c>
      <c r="AK44" s="151">
        <f t="shared" si="16"/>
        <v>201000</v>
      </c>
      <c r="AL44" s="117">
        <f t="shared" si="16"/>
        <v>252205</v>
      </c>
      <c r="AM44" s="129">
        <f t="shared" si="12"/>
        <v>804000</v>
      </c>
      <c r="AN44" s="117">
        <f t="shared" si="13"/>
        <v>915687</v>
      </c>
    </row>
    <row r="45" spans="1:40" ht="20.25" customHeight="1" x14ac:dyDescent="0.15">
      <c r="A45" s="23"/>
      <c r="B45" s="5" t="s">
        <v>47</v>
      </c>
      <c r="C45" s="34">
        <v>25000</v>
      </c>
      <c r="D45" s="4">
        <v>23687</v>
      </c>
      <c r="E45" s="34">
        <v>25000</v>
      </c>
      <c r="F45" s="4">
        <v>35542</v>
      </c>
      <c r="G45" s="34">
        <v>25000</v>
      </c>
      <c r="H45" s="4">
        <v>32054</v>
      </c>
      <c r="I45" s="151"/>
      <c r="J45" s="117"/>
      <c r="K45" s="60">
        <v>25000</v>
      </c>
      <c r="L45" s="4">
        <v>27634</v>
      </c>
      <c r="M45" s="34">
        <v>25000</v>
      </c>
      <c r="N45" s="4">
        <v>17833</v>
      </c>
      <c r="O45" s="34">
        <v>25000</v>
      </c>
      <c r="P45" s="4">
        <v>19821</v>
      </c>
      <c r="Q45" s="151"/>
      <c r="R45" s="117"/>
      <c r="S45" s="151"/>
      <c r="T45" s="117"/>
      <c r="U45" s="60">
        <v>25000</v>
      </c>
      <c r="V45" s="4">
        <v>16343</v>
      </c>
      <c r="W45" s="34">
        <v>25000</v>
      </c>
      <c r="X45" s="4">
        <v>22274</v>
      </c>
      <c r="Y45" s="34">
        <v>25000</v>
      </c>
      <c r="Z45" s="4">
        <v>20141</v>
      </c>
      <c r="AA45" s="151"/>
      <c r="AB45" s="117"/>
      <c r="AC45" s="60">
        <v>25000</v>
      </c>
      <c r="AD45" s="4">
        <v>21028</v>
      </c>
      <c r="AE45" s="34">
        <v>25000</v>
      </c>
      <c r="AF45" s="4">
        <v>19396</v>
      </c>
      <c r="AG45" s="34">
        <v>25000</v>
      </c>
      <c r="AH45" s="4">
        <v>24991</v>
      </c>
      <c r="AI45" s="151">
        <f t="shared" si="17"/>
        <v>75000</v>
      </c>
      <c r="AJ45" s="117">
        <f t="shared" si="17"/>
        <v>65415</v>
      </c>
      <c r="AK45" s="151">
        <f t="shared" si="16"/>
        <v>75000</v>
      </c>
      <c r="AL45" s="117">
        <f t="shared" si="16"/>
        <v>65415</v>
      </c>
      <c r="AM45" s="129">
        <f t="shared" si="12"/>
        <v>300000</v>
      </c>
      <c r="AN45" s="117">
        <f t="shared" si="13"/>
        <v>280744</v>
      </c>
    </row>
    <row r="46" spans="1:40" ht="20.25" customHeight="1" x14ac:dyDescent="0.15">
      <c r="A46" s="23"/>
      <c r="B46" s="5" t="s">
        <v>48</v>
      </c>
      <c r="C46" s="34">
        <v>4200000</v>
      </c>
      <c r="D46" s="4">
        <v>5771404</v>
      </c>
      <c r="E46" s="34">
        <v>4200000</v>
      </c>
      <c r="F46" s="4">
        <v>4006809</v>
      </c>
      <c r="G46" s="34">
        <v>4200000</v>
      </c>
      <c r="H46" s="4">
        <v>7030866</v>
      </c>
      <c r="I46" s="151"/>
      <c r="J46" s="117"/>
      <c r="K46" s="60">
        <v>4200000</v>
      </c>
      <c r="L46" s="4">
        <v>4320418</v>
      </c>
      <c r="M46" s="34">
        <v>4200000</v>
      </c>
      <c r="N46" s="4">
        <v>4134616</v>
      </c>
      <c r="O46" s="34">
        <v>4200000</v>
      </c>
      <c r="P46" s="4">
        <v>5974049</v>
      </c>
      <c r="Q46" s="151"/>
      <c r="R46" s="117"/>
      <c r="S46" s="151"/>
      <c r="T46" s="117"/>
      <c r="U46" s="60">
        <v>4200000</v>
      </c>
      <c r="V46" s="4">
        <v>4087598</v>
      </c>
      <c r="W46" s="34">
        <v>4200000</v>
      </c>
      <c r="X46" s="4">
        <v>4014354</v>
      </c>
      <c r="Y46" s="34">
        <v>4200000</v>
      </c>
      <c r="Z46" s="4">
        <v>4057313</v>
      </c>
      <c r="AA46" s="151"/>
      <c r="AB46" s="117"/>
      <c r="AC46" s="60">
        <v>4200000</v>
      </c>
      <c r="AD46" s="4">
        <v>4491975</v>
      </c>
      <c r="AE46" s="34">
        <v>4200000</v>
      </c>
      <c r="AF46" s="4">
        <v>6370680</v>
      </c>
      <c r="AG46" s="34">
        <v>4200000</v>
      </c>
      <c r="AH46" s="4">
        <v>4689482</v>
      </c>
      <c r="AI46" s="151">
        <f t="shared" si="17"/>
        <v>12600000</v>
      </c>
      <c r="AJ46" s="117">
        <f t="shared" si="17"/>
        <v>15552137</v>
      </c>
      <c r="AK46" s="151">
        <f t="shared" si="16"/>
        <v>12600000</v>
      </c>
      <c r="AL46" s="117">
        <f t="shared" si="16"/>
        <v>15552137</v>
      </c>
      <c r="AM46" s="129">
        <f t="shared" si="12"/>
        <v>50400000</v>
      </c>
      <c r="AN46" s="117">
        <f t="shared" si="13"/>
        <v>58949564</v>
      </c>
    </row>
    <row r="47" spans="1:40" ht="20.25" customHeight="1" x14ac:dyDescent="0.15">
      <c r="A47" s="23"/>
      <c r="B47" s="5" t="s">
        <v>49</v>
      </c>
      <c r="C47" s="34">
        <v>5000</v>
      </c>
      <c r="D47" s="4"/>
      <c r="E47" s="34">
        <v>5000</v>
      </c>
      <c r="F47" s="4"/>
      <c r="G47" s="34">
        <v>5000</v>
      </c>
      <c r="H47" s="4"/>
      <c r="I47" s="151"/>
      <c r="J47" s="117"/>
      <c r="K47" s="60">
        <v>5000</v>
      </c>
      <c r="L47" s="4"/>
      <c r="M47" s="34">
        <v>5000</v>
      </c>
      <c r="N47" s="4"/>
      <c r="O47" s="34">
        <v>5000</v>
      </c>
      <c r="P47" s="4">
        <v>8182</v>
      </c>
      <c r="Q47" s="151"/>
      <c r="R47" s="117"/>
      <c r="S47" s="151"/>
      <c r="T47" s="117"/>
      <c r="U47" s="60">
        <v>5000</v>
      </c>
      <c r="V47" s="4"/>
      <c r="W47" s="34">
        <v>5000</v>
      </c>
      <c r="X47" s="4"/>
      <c r="Y47" s="34">
        <v>5000</v>
      </c>
      <c r="Z47" s="4"/>
      <c r="AA47" s="151"/>
      <c r="AB47" s="117"/>
      <c r="AC47" s="60">
        <v>5000</v>
      </c>
      <c r="AD47" s="4"/>
      <c r="AE47" s="34">
        <v>5000</v>
      </c>
      <c r="AF47" s="4"/>
      <c r="AG47" s="34">
        <v>5000</v>
      </c>
      <c r="AH47" s="4"/>
      <c r="AI47" s="151">
        <f t="shared" si="17"/>
        <v>15000</v>
      </c>
      <c r="AJ47" s="117">
        <f t="shared" si="17"/>
        <v>0</v>
      </c>
      <c r="AK47" s="151">
        <f t="shared" si="16"/>
        <v>15000</v>
      </c>
      <c r="AL47" s="117">
        <f t="shared" si="16"/>
        <v>0</v>
      </c>
      <c r="AM47" s="129">
        <f t="shared" si="12"/>
        <v>60000</v>
      </c>
      <c r="AN47" s="117">
        <f t="shared" si="13"/>
        <v>8182</v>
      </c>
    </row>
    <row r="48" spans="1:40" ht="20.25" customHeight="1" x14ac:dyDescent="0.15">
      <c r="A48" s="23"/>
      <c r="B48" s="5" t="s">
        <v>50</v>
      </c>
      <c r="C48" s="34">
        <v>25000</v>
      </c>
      <c r="D48" s="4">
        <v>16673</v>
      </c>
      <c r="E48" s="34">
        <v>25000</v>
      </c>
      <c r="F48" s="4">
        <v>27040</v>
      </c>
      <c r="G48" s="34">
        <v>25000</v>
      </c>
      <c r="H48" s="4">
        <v>30913</v>
      </c>
      <c r="I48" s="151"/>
      <c r="J48" s="117"/>
      <c r="K48" s="60">
        <v>25000</v>
      </c>
      <c r="L48" s="4">
        <v>26077</v>
      </c>
      <c r="M48" s="34">
        <v>25000</v>
      </c>
      <c r="N48" s="4">
        <v>27580</v>
      </c>
      <c r="O48" s="34">
        <v>25000</v>
      </c>
      <c r="P48" s="4">
        <v>29299</v>
      </c>
      <c r="Q48" s="151"/>
      <c r="R48" s="117"/>
      <c r="S48" s="151"/>
      <c r="T48" s="117"/>
      <c r="U48" s="60">
        <v>25000</v>
      </c>
      <c r="V48" s="4">
        <v>20444</v>
      </c>
      <c r="W48" s="34">
        <v>25000</v>
      </c>
      <c r="X48" s="4">
        <v>16160</v>
      </c>
      <c r="Y48" s="34">
        <v>25000</v>
      </c>
      <c r="Z48" s="4">
        <v>25540</v>
      </c>
      <c r="AA48" s="151"/>
      <c r="AB48" s="117"/>
      <c r="AC48" s="60">
        <v>25000</v>
      </c>
      <c r="AD48" s="4">
        <v>27688</v>
      </c>
      <c r="AE48" s="34">
        <v>25000</v>
      </c>
      <c r="AF48" s="4">
        <v>22660</v>
      </c>
      <c r="AG48" s="34">
        <v>25000</v>
      </c>
      <c r="AH48" s="4">
        <v>20997</v>
      </c>
      <c r="AI48" s="151">
        <f t="shared" si="17"/>
        <v>75000</v>
      </c>
      <c r="AJ48" s="117">
        <f t="shared" si="17"/>
        <v>71345</v>
      </c>
      <c r="AK48" s="151">
        <f t="shared" si="16"/>
        <v>75000</v>
      </c>
      <c r="AL48" s="117">
        <f t="shared" si="16"/>
        <v>71345</v>
      </c>
      <c r="AM48" s="129">
        <f t="shared" si="12"/>
        <v>300000</v>
      </c>
      <c r="AN48" s="117">
        <f t="shared" si="13"/>
        <v>291071</v>
      </c>
    </row>
    <row r="49" spans="1:40" ht="20.25" customHeight="1" x14ac:dyDescent="0.15">
      <c r="A49" s="23"/>
      <c r="B49" s="5" t="s">
        <v>51</v>
      </c>
      <c r="C49" s="34">
        <v>20000</v>
      </c>
      <c r="D49" s="4">
        <v>67279</v>
      </c>
      <c r="E49" s="34">
        <v>20000</v>
      </c>
      <c r="F49" s="4">
        <v>64950</v>
      </c>
      <c r="G49" s="34">
        <v>20000</v>
      </c>
      <c r="H49" s="4">
        <v>78167</v>
      </c>
      <c r="I49" s="151"/>
      <c r="J49" s="117"/>
      <c r="K49" s="60">
        <v>20000</v>
      </c>
      <c r="L49" s="4">
        <v>68302</v>
      </c>
      <c r="M49" s="34">
        <v>20000</v>
      </c>
      <c r="N49" s="4">
        <v>69470</v>
      </c>
      <c r="O49" s="34">
        <v>20000</v>
      </c>
      <c r="P49" s="4">
        <v>66973</v>
      </c>
      <c r="Q49" s="151"/>
      <c r="R49" s="117"/>
      <c r="S49" s="151"/>
      <c r="T49" s="117"/>
      <c r="U49" s="60">
        <v>20000</v>
      </c>
      <c r="V49" s="4">
        <v>66842</v>
      </c>
      <c r="W49" s="34">
        <v>20000</v>
      </c>
      <c r="X49" s="4">
        <v>60556</v>
      </c>
      <c r="Y49" s="34">
        <v>20000</v>
      </c>
      <c r="Z49" s="4">
        <v>63018</v>
      </c>
      <c r="AA49" s="151"/>
      <c r="AB49" s="117"/>
      <c r="AC49" s="60">
        <v>20000</v>
      </c>
      <c r="AD49" s="4">
        <v>66640</v>
      </c>
      <c r="AE49" s="34">
        <v>20000</v>
      </c>
      <c r="AF49" s="4">
        <v>70695</v>
      </c>
      <c r="AG49" s="34">
        <v>20000</v>
      </c>
      <c r="AH49" s="4">
        <v>70115</v>
      </c>
      <c r="AI49" s="151">
        <f t="shared" si="17"/>
        <v>60000</v>
      </c>
      <c r="AJ49" s="117">
        <f t="shared" si="17"/>
        <v>207450</v>
      </c>
      <c r="AK49" s="151">
        <f t="shared" si="16"/>
        <v>60000</v>
      </c>
      <c r="AL49" s="117">
        <f t="shared" si="16"/>
        <v>207450</v>
      </c>
      <c r="AM49" s="129">
        <f t="shared" si="12"/>
        <v>240000</v>
      </c>
      <c r="AN49" s="117">
        <f t="shared" si="13"/>
        <v>813007</v>
      </c>
    </row>
    <row r="50" spans="1:40" ht="20.25" customHeight="1" x14ac:dyDescent="0.15">
      <c r="A50" s="23"/>
      <c r="B50" s="5" t="s">
        <v>206</v>
      </c>
      <c r="C50" s="34">
        <v>100000</v>
      </c>
      <c r="D50" s="4">
        <v>27090</v>
      </c>
      <c r="E50" s="34">
        <v>100000</v>
      </c>
      <c r="F50" s="4">
        <v>49097</v>
      </c>
      <c r="G50" s="34">
        <v>100000</v>
      </c>
      <c r="H50" s="4">
        <v>216707</v>
      </c>
      <c r="I50" s="151"/>
      <c r="J50" s="117"/>
      <c r="K50" s="60">
        <v>100000</v>
      </c>
      <c r="L50" s="4">
        <v>34597</v>
      </c>
      <c r="M50" s="34">
        <v>100000</v>
      </c>
      <c r="N50" s="4">
        <v>306830</v>
      </c>
      <c r="O50" s="34">
        <v>100000</v>
      </c>
      <c r="P50" s="4">
        <v>224594</v>
      </c>
      <c r="Q50" s="151"/>
      <c r="R50" s="117"/>
      <c r="S50" s="151"/>
      <c r="T50" s="117"/>
      <c r="U50" s="60">
        <v>100000</v>
      </c>
      <c r="V50" s="4">
        <v>330251</v>
      </c>
      <c r="W50" s="34">
        <v>100000</v>
      </c>
      <c r="X50" s="4">
        <v>58301</v>
      </c>
      <c r="Y50" s="34">
        <v>100000</v>
      </c>
      <c r="Z50" s="4">
        <v>297878</v>
      </c>
      <c r="AA50" s="151"/>
      <c r="AB50" s="117"/>
      <c r="AC50" s="60">
        <v>100000</v>
      </c>
      <c r="AD50" s="4">
        <v>152963</v>
      </c>
      <c r="AE50" s="34">
        <v>100000</v>
      </c>
      <c r="AF50" s="4">
        <v>376771</v>
      </c>
      <c r="AG50" s="34">
        <v>100000</v>
      </c>
      <c r="AH50" s="4">
        <v>79969</v>
      </c>
      <c r="AI50" s="151">
        <f t="shared" si="17"/>
        <v>300000</v>
      </c>
      <c r="AJ50" s="117">
        <f t="shared" si="17"/>
        <v>609703</v>
      </c>
      <c r="AK50" s="151">
        <f t="shared" si="16"/>
        <v>300000</v>
      </c>
      <c r="AL50" s="117">
        <f t="shared" si="16"/>
        <v>609703</v>
      </c>
      <c r="AM50" s="129">
        <f t="shared" si="12"/>
        <v>1200000</v>
      </c>
      <c r="AN50" s="117">
        <f t="shared" si="13"/>
        <v>2155048</v>
      </c>
    </row>
    <row r="51" spans="1:40" ht="20.25" customHeight="1" x14ac:dyDescent="0.15">
      <c r="A51" s="23"/>
      <c r="B51" s="5" t="s">
        <v>191</v>
      </c>
      <c r="C51" s="34">
        <v>200000</v>
      </c>
      <c r="D51" s="4">
        <v>200000</v>
      </c>
      <c r="E51" s="34">
        <v>200000</v>
      </c>
      <c r="F51" s="4">
        <v>200000</v>
      </c>
      <c r="G51" s="34">
        <v>200000</v>
      </c>
      <c r="H51" s="4">
        <v>800000</v>
      </c>
      <c r="I51" s="151"/>
      <c r="J51" s="117"/>
      <c r="K51" s="60">
        <v>200000</v>
      </c>
      <c r="L51" s="4">
        <v>880000</v>
      </c>
      <c r="M51" s="34">
        <v>200000</v>
      </c>
      <c r="N51" s="4">
        <v>400000</v>
      </c>
      <c r="O51" s="34">
        <v>200000</v>
      </c>
      <c r="P51" s="4">
        <v>400000</v>
      </c>
      <c r="Q51" s="151"/>
      <c r="R51" s="117"/>
      <c r="S51" s="151"/>
      <c r="T51" s="117"/>
      <c r="U51" s="60">
        <v>200000</v>
      </c>
      <c r="V51" s="4">
        <v>400000</v>
      </c>
      <c r="W51" s="34">
        <v>200000</v>
      </c>
      <c r="X51" s="4">
        <v>400000</v>
      </c>
      <c r="Y51" s="34">
        <v>200000</v>
      </c>
      <c r="Z51" s="4">
        <v>400000</v>
      </c>
      <c r="AA51" s="151"/>
      <c r="AB51" s="117"/>
      <c r="AC51" s="60">
        <v>200000</v>
      </c>
      <c r="AD51" s="4">
        <v>453011</v>
      </c>
      <c r="AE51" s="34">
        <v>200000</v>
      </c>
      <c r="AF51" s="4">
        <v>400000</v>
      </c>
      <c r="AG51" s="34">
        <v>200000</v>
      </c>
      <c r="AH51" s="4">
        <v>325000</v>
      </c>
      <c r="AI51" s="151">
        <f t="shared" si="17"/>
        <v>600000</v>
      </c>
      <c r="AJ51" s="117">
        <f t="shared" si="17"/>
        <v>1178011</v>
      </c>
      <c r="AK51" s="151">
        <f t="shared" si="16"/>
        <v>600000</v>
      </c>
      <c r="AL51" s="117">
        <f t="shared" si="16"/>
        <v>1178011</v>
      </c>
      <c r="AM51" s="129">
        <f t="shared" si="12"/>
        <v>2400000</v>
      </c>
      <c r="AN51" s="117">
        <f t="shared" si="13"/>
        <v>5258011</v>
      </c>
    </row>
    <row r="52" spans="1:40" ht="20.25" customHeight="1" x14ac:dyDescent="0.15">
      <c r="A52" s="23"/>
      <c r="B52" s="5" t="s">
        <v>54</v>
      </c>
      <c r="C52" s="34">
        <v>51000</v>
      </c>
      <c r="D52" s="4">
        <v>30000</v>
      </c>
      <c r="E52" s="34">
        <v>51000</v>
      </c>
      <c r="F52" s="4">
        <v>54000</v>
      </c>
      <c r="G52" s="34">
        <v>51000</v>
      </c>
      <c r="H52" s="4">
        <v>42000</v>
      </c>
      <c r="I52" s="151"/>
      <c r="J52" s="117"/>
      <c r="K52" s="60">
        <v>51000</v>
      </c>
      <c r="L52" s="4">
        <v>80000</v>
      </c>
      <c r="M52" s="34">
        <v>51000</v>
      </c>
      <c r="N52" s="4">
        <v>30000</v>
      </c>
      <c r="O52" s="34">
        <v>51000</v>
      </c>
      <c r="P52" s="4">
        <v>30000</v>
      </c>
      <c r="Q52" s="151"/>
      <c r="R52" s="117"/>
      <c r="S52" s="151"/>
      <c r="T52" s="117"/>
      <c r="U52" s="60">
        <v>51000</v>
      </c>
      <c r="V52" s="4">
        <v>30000</v>
      </c>
      <c r="W52" s="34">
        <v>51000</v>
      </c>
      <c r="X52" s="4">
        <v>30000</v>
      </c>
      <c r="Y52" s="34">
        <v>51000</v>
      </c>
      <c r="Z52" s="4">
        <v>30000</v>
      </c>
      <c r="AA52" s="151"/>
      <c r="AB52" s="117"/>
      <c r="AC52" s="60">
        <v>51000</v>
      </c>
      <c r="AD52" s="4">
        <v>30000</v>
      </c>
      <c r="AE52" s="34">
        <v>51000</v>
      </c>
      <c r="AF52" s="4">
        <v>31000</v>
      </c>
      <c r="AG52" s="34">
        <v>51000</v>
      </c>
      <c r="AH52" s="4">
        <v>30000</v>
      </c>
      <c r="AI52" s="151">
        <f t="shared" si="17"/>
        <v>153000</v>
      </c>
      <c r="AJ52" s="117">
        <f t="shared" si="17"/>
        <v>91000</v>
      </c>
      <c r="AK52" s="151">
        <f t="shared" si="16"/>
        <v>153000</v>
      </c>
      <c r="AL52" s="117">
        <f t="shared" si="16"/>
        <v>91000</v>
      </c>
      <c r="AM52" s="129">
        <f t="shared" si="12"/>
        <v>612000</v>
      </c>
      <c r="AN52" s="117">
        <f t="shared" si="13"/>
        <v>447000</v>
      </c>
    </row>
    <row r="53" spans="1:40" ht="20.25" customHeight="1" x14ac:dyDescent="0.15">
      <c r="A53" s="23"/>
      <c r="B53" s="5" t="s">
        <v>190</v>
      </c>
      <c r="C53" s="34"/>
      <c r="D53" s="4"/>
      <c r="E53" s="34"/>
      <c r="F53" s="4"/>
      <c r="G53" s="34"/>
      <c r="H53" s="4"/>
      <c r="I53" s="151"/>
      <c r="J53" s="117"/>
      <c r="K53" s="60"/>
      <c r="L53" s="4"/>
      <c r="M53" s="34"/>
      <c r="N53" s="4"/>
      <c r="O53" s="34"/>
      <c r="P53" s="4"/>
      <c r="Q53" s="151"/>
      <c r="R53" s="117"/>
      <c r="S53" s="151"/>
      <c r="T53" s="117"/>
      <c r="U53" s="60"/>
      <c r="V53" s="4"/>
      <c r="W53" s="34"/>
      <c r="X53" s="4"/>
      <c r="Y53" s="34"/>
      <c r="Z53" s="4"/>
      <c r="AA53" s="151"/>
      <c r="AB53" s="117"/>
      <c r="AC53" s="60"/>
      <c r="AD53" s="4"/>
      <c r="AE53" s="34"/>
      <c r="AF53" s="4"/>
      <c r="AG53" s="34"/>
      <c r="AH53" s="4"/>
      <c r="AI53" s="151">
        <f t="shared" si="17"/>
        <v>0</v>
      </c>
      <c r="AJ53" s="117">
        <f t="shared" si="17"/>
        <v>0</v>
      </c>
      <c r="AK53" s="151">
        <f t="shared" si="16"/>
        <v>0</v>
      </c>
      <c r="AL53" s="117">
        <f t="shared" si="16"/>
        <v>0</v>
      </c>
      <c r="AM53" s="129">
        <f t="shared" si="12"/>
        <v>0</v>
      </c>
      <c r="AN53" s="117">
        <f t="shared" si="13"/>
        <v>0</v>
      </c>
    </row>
    <row r="54" spans="1:40" ht="20.25" customHeight="1" x14ac:dyDescent="0.15">
      <c r="A54" s="26"/>
      <c r="B54" s="27" t="s">
        <v>55</v>
      </c>
      <c r="C54" s="35">
        <v>40000</v>
      </c>
      <c r="D54" s="28">
        <v>35582</v>
      </c>
      <c r="E54" s="35">
        <v>40000</v>
      </c>
      <c r="F54" s="28">
        <v>38012</v>
      </c>
      <c r="G54" s="35">
        <v>40000</v>
      </c>
      <c r="H54" s="28">
        <v>37350</v>
      </c>
      <c r="I54" s="152"/>
      <c r="J54" s="118"/>
      <c r="K54" s="61">
        <v>40000</v>
      </c>
      <c r="L54" s="28">
        <v>36174</v>
      </c>
      <c r="M54" s="35">
        <v>40000</v>
      </c>
      <c r="N54" s="28">
        <v>34479</v>
      </c>
      <c r="O54" s="35">
        <v>40000</v>
      </c>
      <c r="P54" s="28">
        <v>39873</v>
      </c>
      <c r="Q54" s="152"/>
      <c r="R54" s="118"/>
      <c r="S54" s="152"/>
      <c r="T54" s="118"/>
      <c r="U54" s="61">
        <v>40000</v>
      </c>
      <c r="V54" s="28">
        <v>33943</v>
      </c>
      <c r="W54" s="35">
        <v>40000</v>
      </c>
      <c r="X54" s="28">
        <v>34640</v>
      </c>
      <c r="Y54" s="35">
        <v>40000</v>
      </c>
      <c r="Z54" s="28">
        <v>61019</v>
      </c>
      <c r="AA54" s="152"/>
      <c r="AB54" s="118"/>
      <c r="AC54" s="61">
        <v>40000</v>
      </c>
      <c r="AD54" s="28">
        <v>57068</v>
      </c>
      <c r="AE54" s="35">
        <v>40000</v>
      </c>
      <c r="AF54" s="28">
        <v>57342</v>
      </c>
      <c r="AG54" s="35">
        <v>40000</v>
      </c>
      <c r="AH54" s="28">
        <v>51211</v>
      </c>
      <c r="AI54" s="152">
        <f t="shared" si="17"/>
        <v>120000</v>
      </c>
      <c r="AJ54" s="118">
        <f t="shared" si="17"/>
        <v>165621</v>
      </c>
      <c r="AK54" s="152">
        <f t="shared" si="16"/>
        <v>120000</v>
      </c>
      <c r="AL54" s="118">
        <f t="shared" si="16"/>
        <v>165621</v>
      </c>
      <c r="AM54" s="130">
        <f t="shared" si="12"/>
        <v>480000</v>
      </c>
      <c r="AN54" s="118">
        <f t="shared" si="13"/>
        <v>516693</v>
      </c>
    </row>
    <row r="55" spans="1:40" ht="20.25" customHeight="1" x14ac:dyDescent="0.15">
      <c r="A55" s="21" t="s">
        <v>81</v>
      </c>
      <c r="B55" s="22" t="s">
        <v>188</v>
      </c>
      <c r="C55" s="34">
        <v>-810000</v>
      </c>
      <c r="D55" s="4">
        <v>-810000</v>
      </c>
      <c r="E55" s="34">
        <v>-810000</v>
      </c>
      <c r="F55" s="4">
        <v>-810000</v>
      </c>
      <c r="G55" s="34">
        <v>-810000</v>
      </c>
      <c r="H55" s="4">
        <v>-810000</v>
      </c>
      <c r="I55" s="151"/>
      <c r="J55" s="117"/>
      <c r="K55" s="34">
        <v>-810000</v>
      </c>
      <c r="L55" s="4">
        <v>-810000</v>
      </c>
      <c r="M55" s="34">
        <v>-810000</v>
      </c>
      <c r="N55" s="4">
        <v>-810000</v>
      </c>
      <c r="O55" s="34">
        <v>-810000</v>
      </c>
      <c r="P55" s="4">
        <v>-810000</v>
      </c>
      <c r="Q55" s="151"/>
      <c r="R55" s="117"/>
      <c r="S55" s="151"/>
      <c r="T55" s="117"/>
      <c r="U55" s="34">
        <v>-810000</v>
      </c>
      <c r="V55" s="4">
        <v>-810000</v>
      </c>
      <c r="W55" s="34">
        <v>-810000</v>
      </c>
      <c r="X55" s="4">
        <v>-810000</v>
      </c>
      <c r="Y55" s="34">
        <v>-810000</v>
      </c>
      <c r="Z55" s="4">
        <v>-810000</v>
      </c>
      <c r="AA55" s="151"/>
      <c r="AB55" s="117"/>
      <c r="AC55" s="34">
        <v>-810000</v>
      </c>
      <c r="AD55" s="4">
        <v>-810000</v>
      </c>
      <c r="AE55" s="34">
        <v>-810000</v>
      </c>
      <c r="AF55" s="4">
        <v>-810000</v>
      </c>
      <c r="AG55" s="34">
        <v>-810000</v>
      </c>
      <c r="AH55" s="4">
        <v>-810000</v>
      </c>
      <c r="AI55" s="151">
        <f t="shared" si="17"/>
        <v>-2430000</v>
      </c>
      <c r="AJ55" s="117">
        <f t="shared" si="17"/>
        <v>-2430000</v>
      </c>
      <c r="AK55" s="151">
        <f t="shared" si="16"/>
        <v>-2430000</v>
      </c>
      <c r="AL55" s="117">
        <f t="shared" si="16"/>
        <v>-2430000</v>
      </c>
      <c r="AM55" s="129">
        <f t="shared" si="12"/>
        <v>-9720000</v>
      </c>
      <c r="AN55" s="117">
        <f t="shared" si="13"/>
        <v>-9720000</v>
      </c>
    </row>
    <row r="56" spans="1:40" ht="20.25" customHeight="1" x14ac:dyDescent="0.15">
      <c r="A56" s="21"/>
      <c r="B56" s="5" t="s">
        <v>207</v>
      </c>
      <c r="C56" s="34">
        <v>250000</v>
      </c>
      <c r="D56" s="4">
        <v>293575</v>
      </c>
      <c r="E56" s="34">
        <v>250000</v>
      </c>
      <c r="F56" s="4">
        <v>313043</v>
      </c>
      <c r="G56" s="34">
        <v>250000</v>
      </c>
      <c r="H56" s="4">
        <v>166945</v>
      </c>
      <c r="I56" s="151"/>
      <c r="J56" s="117"/>
      <c r="K56" s="34">
        <v>250000</v>
      </c>
      <c r="L56" s="4">
        <v>192346</v>
      </c>
      <c r="M56" s="34">
        <v>250000</v>
      </c>
      <c r="N56" s="4">
        <v>138438</v>
      </c>
      <c r="O56" s="34">
        <v>250000</v>
      </c>
      <c r="P56" s="4">
        <v>170560</v>
      </c>
      <c r="Q56" s="151"/>
      <c r="R56" s="117"/>
      <c r="S56" s="151"/>
      <c r="T56" s="117"/>
      <c r="U56" s="34">
        <v>250000</v>
      </c>
      <c r="V56" s="4">
        <v>418496</v>
      </c>
      <c r="W56" s="34">
        <v>250000</v>
      </c>
      <c r="X56" s="4">
        <v>312405</v>
      </c>
      <c r="Y56" s="34">
        <v>250000</v>
      </c>
      <c r="Z56" s="4">
        <v>279365</v>
      </c>
      <c r="AA56" s="151"/>
      <c r="AB56" s="117"/>
      <c r="AC56" s="34">
        <v>250000</v>
      </c>
      <c r="AD56" s="4">
        <v>275439</v>
      </c>
      <c r="AE56" s="34">
        <v>250000</v>
      </c>
      <c r="AF56" s="4"/>
      <c r="AG56" s="34">
        <v>250000</v>
      </c>
      <c r="AH56" s="4">
        <v>366781</v>
      </c>
      <c r="AI56" s="151">
        <f t="shared" ref="AI56" si="18">AC56+AE56+AG56</f>
        <v>750000</v>
      </c>
      <c r="AJ56" s="117">
        <f t="shared" ref="AJ56" si="19">AD56+AF56+AH56</f>
        <v>642220</v>
      </c>
      <c r="AK56" s="151">
        <f t="shared" ref="AK56" si="20">AA56+AI56</f>
        <v>750000</v>
      </c>
      <c r="AL56" s="117">
        <f t="shared" ref="AL56" si="21">AB56+AJ56</f>
        <v>642220</v>
      </c>
      <c r="AM56" s="129">
        <f t="shared" si="12"/>
        <v>3000000</v>
      </c>
      <c r="AN56" s="117">
        <f t="shared" si="13"/>
        <v>2927393</v>
      </c>
    </row>
    <row r="57" spans="1:40" ht="20.25" customHeight="1" thickBot="1" x14ac:dyDescent="0.2">
      <c r="A57" s="21" t="s">
        <v>82</v>
      </c>
      <c r="B57" s="6" t="s">
        <v>74</v>
      </c>
      <c r="C57" s="34"/>
      <c r="D57" s="4"/>
      <c r="E57" s="34"/>
      <c r="F57" s="4"/>
      <c r="G57" s="34"/>
      <c r="H57" s="4"/>
      <c r="I57" s="151"/>
      <c r="J57" s="117"/>
      <c r="K57" s="60"/>
      <c r="L57" s="4">
        <v>330000</v>
      </c>
      <c r="M57" s="34"/>
      <c r="N57" s="4"/>
      <c r="O57" s="34"/>
      <c r="P57" s="4">
        <v>320000</v>
      </c>
      <c r="Q57" s="151"/>
      <c r="R57" s="117"/>
      <c r="S57" s="151"/>
      <c r="T57" s="117"/>
      <c r="U57" s="60"/>
      <c r="V57" s="4"/>
      <c r="W57" s="34"/>
      <c r="X57" s="4"/>
      <c r="Y57" s="34"/>
      <c r="Z57" s="4"/>
      <c r="AA57" s="151"/>
      <c r="AB57" s="117"/>
      <c r="AC57" s="60"/>
      <c r="AD57" s="4">
        <v>320000</v>
      </c>
      <c r="AE57" s="34"/>
      <c r="AF57" s="4"/>
      <c r="AG57" s="34"/>
      <c r="AH57" s="4"/>
      <c r="AI57" s="151">
        <f t="shared" si="17"/>
        <v>0</v>
      </c>
      <c r="AJ57" s="117">
        <f t="shared" si="17"/>
        <v>320000</v>
      </c>
      <c r="AK57" s="151">
        <f t="shared" si="16"/>
        <v>0</v>
      </c>
      <c r="AL57" s="117">
        <f t="shared" si="16"/>
        <v>320000</v>
      </c>
      <c r="AM57" s="129">
        <f t="shared" si="12"/>
        <v>0</v>
      </c>
      <c r="AN57" s="117">
        <f t="shared" si="13"/>
        <v>970000</v>
      </c>
    </row>
    <row r="58" spans="1:40" ht="20.25" customHeight="1" thickTop="1" thickBot="1" x14ac:dyDescent="0.2">
      <c r="A58" s="24"/>
      <c r="B58" s="7" t="s">
        <v>27</v>
      </c>
      <c r="C58" s="40">
        <f>SUM(C33:C57)</f>
        <v>6423916</v>
      </c>
      <c r="D58" s="14">
        <f>SUM(D33:D57)</f>
        <v>7852583</v>
      </c>
      <c r="E58" s="40">
        <f t="shared" ref="E58:AL58" si="22">SUM(E33:E57)</f>
        <v>6423916</v>
      </c>
      <c r="F58" s="14">
        <f t="shared" si="22"/>
        <v>7576525</v>
      </c>
      <c r="G58" s="40">
        <f t="shared" si="22"/>
        <v>6423916</v>
      </c>
      <c r="H58" s="14">
        <f t="shared" si="22"/>
        <v>10222222</v>
      </c>
      <c r="I58" s="40">
        <f t="shared" si="22"/>
        <v>0</v>
      </c>
      <c r="J58" s="14">
        <f t="shared" si="15"/>
        <v>25651330</v>
      </c>
      <c r="K58" s="66">
        <f t="shared" si="22"/>
        <v>6423916</v>
      </c>
      <c r="L58" s="14">
        <f t="shared" si="22"/>
        <v>7277182</v>
      </c>
      <c r="M58" s="40">
        <f t="shared" si="22"/>
        <v>6423916</v>
      </c>
      <c r="N58" s="14">
        <f>SUM(N33:N57)</f>
        <v>6937085</v>
      </c>
      <c r="O58" s="40">
        <f t="shared" si="22"/>
        <v>6423916</v>
      </c>
      <c r="P58" s="14">
        <f>SUM(P33:P57)</f>
        <v>8853400</v>
      </c>
      <c r="Q58" s="40">
        <f t="shared" si="22"/>
        <v>0</v>
      </c>
      <c r="R58" s="14">
        <f t="shared" si="22"/>
        <v>0</v>
      </c>
      <c r="S58" s="40">
        <f t="shared" si="22"/>
        <v>0</v>
      </c>
      <c r="T58" s="14">
        <f t="shared" si="22"/>
        <v>0</v>
      </c>
      <c r="U58" s="66">
        <f t="shared" si="22"/>
        <v>6423916</v>
      </c>
      <c r="V58" s="14">
        <f t="shared" si="22"/>
        <v>6786607</v>
      </c>
      <c r="W58" s="40">
        <f t="shared" si="22"/>
        <v>6423916</v>
      </c>
      <c r="X58" s="14">
        <f t="shared" si="22"/>
        <v>6343211</v>
      </c>
      <c r="Y58" s="40">
        <f t="shared" si="22"/>
        <v>6423916</v>
      </c>
      <c r="Z58" s="14">
        <f t="shared" si="22"/>
        <v>6948464</v>
      </c>
      <c r="AA58" s="40">
        <f t="shared" si="22"/>
        <v>0</v>
      </c>
      <c r="AB58" s="14">
        <f t="shared" si="22"/>
        <v>0</v>
      </c>
      <c r="AC58" s="66">
        <f t="shared" si="22"/>
        <v>6423916</v>
      </c>
      <c r="AD58" s="14">
        <f t="shared" si="22"/>
        <v>7112982</v>
      </c>
      <c r="AE58" s="40">
        <f t="shared" si="22"/>
        <v>6423916</v>
      </c>
      <c r="AF58" s="14">
        <f>SUM(AF33:AF57)</f>
        <v>8847749</v>
      </c>
      <c r="AG58" s="40">
        <f t="shared" si="22"/>
        <v>6423916</v>
      </c>
      <c r="AH58" s="14">
        <f t="shared" si="22"/>
        <v>7148426</v>
      </c>
      <c r="AI58" s="40">
        <f t="shared" si="22"/>
        <v>19271748</v>
      </c>
      <c r="AJ58" s="14">
        <f t="shared" si="22"/>
        <v>23109157</v>
      </c>
      <c r="AK58" s="40">
        <f t="shared" si="22"/>
        <v>19271748</v>
      </c>
      <c r="AL58" s="14">
        <f t="shared" si="22"/>
        <v>23109157</v>
      </c>
      <c r="AM58" s="66">
        <f t="shared" si="12"/>
        <v>77086992</v>
      </c>
      <c r="AN58" s="14">
        <f t="shared" si="13"/>
        <v>91906436</v>
      </c>
    </row>
    <row r="59" spans="1:40" ht="20.25" customHeight="1" thickBot="1" x14ac:dyDescent="0.2">
      <c r="A59" s="212" t="s">
        <v>57</v>
      </c>
      <c r="B59" s="213"/>
      <c r="C59" s="41">
        <f>C32+C58</f>
        <v>14727262</v>
      </c>
      <c r="D59" s="15">
        <f t="shared" ref="D59:AL59" si="23">D32+D58</f>
        <v>18810805.989</v>
      </c>
      <c r="E59" s="41">
        <f t="shared" si="23"/>
        <v>14727262</v>
      </c>
      <c r="F59" s="15">
        <f>F32+F58</f>
        <v>19456750.417999998</v>
      </c>
      <c r="G59" s="41">
        <f t="shared" si="23"/>
        <v>14727262</v>
      </c>
      <c r="H59" s="15">
        <f t="shared" si="23"/>
        <v>21524491.420000002</v>
      </c>
      <c r="I59" s="41">
        <f t="shared" si="23"/>
        <v>0</v>
      </c>
      <c r="J59" s="15">
        <f t="shared" si="15"/>
        <v>59792047.827</v>
      </c>
      <c r="K59" s="67">
        <f t="shared" si="23"/>
        <v>14727262</v>
      </c>
      <c r="L59" s="15">
        <f t="shared" si="23"/>
        <v>18559646.535999998</v>
      </c>
      <c r="M59" s="41">
        <f t="shared" si="23"/>
        <v>14727262</v>
      </c>
      <c r="N59" s="15">
        <f t="shared" si="23"/>
        <v>18482219.619000003</v>
      </c>
      <c r="O59" s="41">
        <f t="shared" si="23"/>
        <v>14727262</v>
      </c>
      <c r="P59" s="15">
        <f t="shared" si="23"/>
        <v>20295379.73</v>
      </c>
      <c r="Q59" s="41">
        <f t="shared" si="23"/>
        <v>0</v>
      </c>
      <c r="R59" s="15">
        <f t="shared" si="23"/>
        <v>0</v>
      </c>
      <c r="S59" s="41">
        <f t="shared" si="23"/>
        <v>0</v>
      </c>
      <c r="T59" s="15">
        <f t="shared" si="23"/>
        <v>0</v>
      </c>
      <c r="U59" s="67">
        <f t="shared" si="23"/>
        <v>14727262</v>
      </c>
      <c r="V59" s="15">
        <f>V32+V58</f>
        <v>18234046.960000001</v>
      </c>
      <c r="W59" s="41">
        <f t="shared" si="23"/>
        <v>14727262</v>
      </c>
      <c r="X59" s="15">
        <f t="shared" si="23"/>
        <v>17800997.890000001</v>
      </c>
      <c r="Y59" s="41">
        <f t="shared" si="23"/>
        <v>14727262</v>
      </c>
      <c r="Z59" s="15">
        <f t="shared" si="23"/>
        <v>18419207.259999998</v>
      </c>
      <c r="AA59" s="41">
        <f t="shared" si="23"/>
        <v>0</v>
      </c>
      <c r="AB59" s="15">
        <f t="shared" si="23"/>
        <v>0</v>
      </c>
      <c r="AC59" s="67">
        <f t="shared" si="23"/>
        <v>14727262</v>
      </c>
      <c r="AD59" s="15">
        <f t="shared" si="23"/>
        <v>18587199.550000001</v>
      </c>
      <c r="AE59" s="41">
        <f t="shared" si="23"/>
        <v>14727262</v>
      </c>
      <c r="AF59" s="15">
        <f t="shared" si="23"/>
        <v>31221545.302000001</v>
      </c>
      <c r="AG59" s="41">
        <f t="shared" si="23"/>
        <v>14727262</v>
      </c>
      <c r="AH59" s="15">
        <f t="shared" si="23"/>
        <v>18455333.905000001</v>
      </c>
      <c r="AI59" s="41">
        <f t="shared" si="23"/>
        <v>44181786</v>
      </c>
      <c r="AJ59" s="15">
        <f t="shared" si="23"/>
        <v>68264078.756999999</v>
      </c>
      <c r="AK59" s="41">
        <f t="shared" si="23"/>
        <v>44181786</v>
      </c>
      <c r="AL59" s="15">
        <f t="shared" si="23"/>
        <v>68264078.756999999</v>
      </c>
      <c r="AM59" s="67">
        <f t="shared" si="12"/>
        <v>176727144</v>
      </c>
      <c r="AN59" s="15">
        <f t="shared" si="13"/>
        <v>239847624.57900003</v>
      </c>
    </row>
    <row r="60" spans="1:40" ht="20.25" customHeight="1" x14ac:dyDescent="0.15">
      <c r="A60" s="218" t="s">
        <v>75</v>
      </c>
      <c r="B60" s="219"/>
      <c r="C60" s="37">
        <f>C21-C59</f>
        <v>-14727262</v>
      </c>
      <c r="D60" s="9">
        <f t="shared" ref="D60:AN60" si="24">D21-D59</f>
        <v>-18810805.989</v>
      </c>
      <c r="E60" s="37">
        <f t="shared" si="24"/>
        <v>-14727262</v>
      </c>
      <c r="F60" s="9">
        <f t="shared" si="24"/>
        <v>-19456750.417999998</v>
      </c>
      <c r="G60" s="37">
        <f t="shared" si="24"/>
        <v>-14727262</v>
      </c>
      <c r="H60" s="9">
        <f t="shared" si="24"/>
        <v>-21524491.420000002</v>
      </c>
      <c r="I60" s="37">
        <f>I21-I59</f>
        <v>0</v>
      </c>
      <c r="J60" s="9">
        <f>D60+F60+H60</f>
        <v>-59792047.827</v>
      </c>
      <c r="K60" s="63">
        <f t="shared" si="24"/>
        <v>-14727262</v>
      </c>
      <c r="L60" s="9">
        <f t="shared" si="24"/>
        <v>-18559646.535999998</v>
      </c>
      <c r="M60" s="37">
        <f t="shared" si="24"/>
        <v>-14727262</v>
      </c>
      <c r="N60" s="9">
        <f t="shared" si="24"/>
        <v>-18482219.619000003</v>
      </c>
      <c r="O60" s="37">
        <f t="shared" si="24"/>
        <v>-14727262</v>
      </c>
      <c r="P60" s="9">
        <f>P21-P59</f>
        <v>-1795379.7300000004</v>
      </c>
      <c r="Q60" s="37">
        <f t="shared" si="24"/>
        <v>0</v>
      </c>
      <c r="R60" s="9">
        <f t="shared" si="24"/>
        <v>18500000</v>
      </c>
      <c r="S60" s="37">
        <f t="shared" si="24"/>
        <v>0</v>
      </c>
      <c r="T60" s="9">
        <f t="shared" si="24"/>
        <v>18500000</v>
      </c>
      <c r="U60" s="63">
        <f t="shared" si="24"/>
        <v>-14727262</v>
      </c>
      <c r="V60" s="9">
        <f t="shared" si="24"/>
        <v>-18234046.960000001</v>
      </c>
      <c r="W60" s="37">
        <f t="shared" si="24"/>
        <v>-14727262</v>
      </c>
      <c r="X60" s="9">
        <f t="shared" si="24"/>
        <v>-17800997.890000001</v>
      </c>
      <c r="Y60" s="37">
        <f t="shared" si="24"/>
        <v>-14727262</v>
      </c>
      <c r="Z60" s="9">
        <f t="shared" si="24"/>
        <v>-18419207.259999998</v>
      </c>
      <c r="AA60" s="37">
        <f t="shared" si="24"/>
        <v>0</v>
      </c>
      <c r="AB60" s="9">
        <f t="shared" si="24"/>
        <v>0</v>
      </c>
      <c r="AC60" s="63">
        <f t="shared" si="24"/>
        <v>-14727262</v>
      </c>
      <c r="AD60" s="9">
        <f t="shared" si="24"/>
        <v>-18587199.550000001</v>
      </c>
      <c r="AE60" s="37">
        <f t="shared" si="24"/>
        <v>-14727262</v>
      </c>
      <c r="AF60" s="9">
        <f t="shared" si="24"/>
        <v>-31221545.302000001</v>
      </c>
      <c r="AG60" s="37">
        <f t="shared" si="24"/>
        <v>-14727262</v>
      </c>
      <c r="AH60" s="9">
        <f t="shared" si="24"/>
        <v>-18455333.905000001</v>
      </c>
      <c r="AI60" s="37">
        <f t="shared" si="24"/>
        <v>-44181786</v>
      </c>
      <c r="AJ60" s="9">
        <f t="shared" si="24"/>
        <v>-68264078.756999999</v>
      </c>
      <c r="AK60" s="37">
        <f t="shared" si="24"/>
        <v>-44181786</v>
      </c>
      <c r="AL60" s="9">
        <f t="shared" si="24"/>
        <v>-68264078.756999999</v>
      </c>
      <c r="AM60" s="63">
        <f t="shared" si="12"/>
        <v>-176727144</v>
      </c>
      <c r="AN60" s="9">
        <f t="shared" si="24"/>
        <v>-221347624.57900003</v>
      </c>
    </row>
    <row r="61" spans="1:40" s="16" customFormat="1" ht="20.25" customHeight="1" thickBot="1" x14ac:dyDescent="0.2">
      <c r="A61" s="210" t="s">
        <v>29</v>
      </c>
      <c r="B61" s="211"/>
      <c r="C61" s="38" t="str">
        <f t="shared" ref="C61:AN61" si="25">IF(C5=0,"        ― ",C60/C5)</f>
        <v xml:space="preserve">        ― </v>
      </c>
      <c r="D61" s="10" t="str">
        <f t="shared" si="25"/>
        <v xml:space="preserve">        ― </v>
      </c>
      <c r="E61" s="38" t="str">
        <f t="shared" si="25"/>
        <v xml:space="preserve">        ― </v>
      </c>
      <c r="F61" s="10" t="str">
        <f t="shared" si="25"/>
        <v xml:space="preserve">        ― </v>
      </c>
      <c r="G61" s="38" t="str">
        <f t="shared" si="25"/>
        <v xml:space="preserve">        ― </v>
      </c>
      <c r="H61" s="10" t="str">
        <f t="shared" si="25"/>
        <v xml:space="preserve">        ― </v>
      </c>
      <c r="I61" s="38" t="str">
        <f t="shared" si="25"/>
        <v xml:space="preserve">        ― </v>
      </c>
      <c r="J61" s="10" t="str">
        <f t="shared" si="25"/>
        <v xml:space="preserve">        ― </v>
      </c>
      <c r="K61" s="64" t="str">
        <f t="shared" si="25"/>
        <v xml:space="preserve">        ― </v>
      </c>
      <c r="L61" s="10" t="str">
        <f t="shared" si="25"/>
        <v xml:space="preserve">        ― </v>
      </c>
      <c r="M61" s="38" t="str">
        <f t="shared" si="25"/>
        <v xml:space="preserve">        ― </v>
      </c>
      <c r="N61" s="10" t="str">
        <f t="shared" si="25"/>
        <v xml:space="preserve">        ― </v>
      </c>
      <c r="O61" s="38" t="str">
        <f t="shared" si="25"/>
        <v xml:space="preserve">        ― </v>
      </c>
      <c r="P61" s="10">
        <f t="shared" si="25"/>
        <v>-9.7047552972973003E-2</v>
      </c>
      <c r="Q61" s="38" t="str">
        <f t="shared" si="25"/>
        <v xml:space="preserve">        ― </v>
      </c>
      <c r="R61" s="10">
        <f t="shared" si="25"/>
        <v>1</v>
      </c>
      <c r="S61" s="38" t="str">
        <f t="shared" si="25"/>
        <v xml:space="preserve">        ― </v>
      </c>
      <c r="T61" s="10">
        <f t="shared" si="25"/>
        <v>1</v>
      </c>
      <c r="U61" s="64" t="str">
        <f t="shared" si="25"/>
        <v xml:space="preserve">        ― </v>
      </c>
      <c r="V61" s="10" t="str">
        <f t="shared" si="25"/>
        <v xml:space="preserve">        ― </v>
      </c>
      <c r="W61" s="38" t="str">
        <f t="shared" si="25"/>
        <v xml:space="preserve">        ― </v>
      </c>
      <c r="X61" s="10" t="str">
        <f t="shared" si="25"/>
        <v xml:space="preserve">        ― </v>
      </c>
      <c r="Y61" s="38" t="str">
        <f t="shared" si="25"/>
        <v xml:space="preserve">        ― </v>
      </c>
      <c r="Z61" s="10" t="str">
        <f t="shared" si="25"/>
        <v xml:space="preserve">        ― </v>
      </c>
      <c r="AA61" s="38" t="str">
        <f t="shared" si="25"/>
        <v xml:space="preserve">        ― </v>
      </c>
      <c r="AB61" s="10" t="str">
        <f t="shared" si="25"/>
        <v xml:space="preserve">        ― </v>
      </c>
      <c r="AC61" s="64" t="str">
        <f t="shared" si="25"/>
        <v xml:space="preserve">        ― </v>
      </c>
      <c r="AD61" s="10" t="str">
        <f t="shared" si="25"/>
        <v xml:space="preserve">        ― </v>
      </c>
      <c r="AE61" s="38" t="str">
        <f t="shared" si="25"/>
        <v xml:space="preserve">        ― </v>
      </c>
      <c r="AF61" s="10" t="str">
        <f t="shared" si="25"/>
        <v xml:space="preserve">        ― </v>
      </c>
      <c r="AG61" s="38" t="str">
        <f t="shared" si="25"/>
        <v xml:space="preserve">        ― </v>
      </c>
      <c r="AH61" s="10" t="str">
        <f t="shared" si="25"/>
        <v xml:space="preserve">        ― </v>
      </c>
      <c r="AI61" s="38" t="str">
        <f t="shared" si="25"/>
        <v xml:space="preserve">        ― </v>
      </c>
      <c r="AJ61" s="10" t="str">
        <f t="shared" si="25"/>
        <v xml:space="preserve">        ― </v>
      </c>
      <c r="AK61" s="38" t="str">
        <f t="shared" si="25"/>
        <v xml:space="preserve">        ― </v>
      </c>
      <c r="AL61" s="10" t="str">
        <f t="shared" si="25"/>
        <v xml:space="preserve">        ― </v>
      </c>
      <c r="AM61" s="64" t="str">
        <f t="shared" si="25"/>
        <v xml:space="preserve">        ― </v>
      </c>
      <c r="AN61" s="10">
        <f t="shared" si="25"/>
        <v>-11.96473646372973</v>
      </c>
    </row>
    <row r="62" spans="1:40" s="18" customFormat="1" ht="20.25" hidden="1" customHeight="1" thickBot="1" x14ac:dyDescent="0.2">
      <c r="A62" s="237" t="s">
        <v>58</v>
      </c>
      <c r="B62" s="238"/>
      <c r="C62" s="42"/>
      <c r="D62" s="17"/>
      <c r="E62" s="42"/>
      <c r="F62" s="17"/>
      <c r="G62" s="42"/>
      <c r="H62" s="54"/>
      <c r="I62" s="74"/>
      <c r="J62" s="135"/>
      <c r="K62" s="68"/>
      <c r="L62" s="17"/>
      <c r="M62" s="42"/>
      <c r="N62" s="17"/>
      <c r="O62" s="42"/>
      <c r="P62" s="54"/>
      <c r="Q62" s="74"/>
      <c r="R62" s="75"/>
      <c r="S62" s="74"/>
      <c r="T62" s="146"/>
      <c r="U62" s="68"/>
      <c r="V62" s="17"/>
      <c r="W62" s="42"/>
      <c r="X62" s="17"/>
      <c r="Y62" s="42"/>
      <c r="Z62" s="54"/>
      <c r="AA62" s="138"/>
      <c r="AB62" s="135"/>
      <c r="AC62" s="68"/>
      <c r="AD62" s="17"/>
      <c r="AE62" s="42"/>
      <c r="AF62" s="17"/>
      <c r="AG62" s="42"/>
      <c r="AH62" s="54"/>
      <c r="AI62" s="138"/>
      <c r="AJ62" s="75"/>
      <c r="AK62" s="74"/>
      <c r="AL62" s="78"/>
      <c r="AM62" s="67"/>
      <c r="AN62" s="15"/>
    </row>
    <row r="63" spans="1:40" s="18" customFormat="1" ht="20.25" hidden="1" customHeight="1" thickBot="1" x14ac:dyDescent="0.2">
      <c r="A63" s="239" t="s">
        <v>59</v>
      </c>
      <c r="B63" s="240"/>
      <c r="C63" s="42">
        <f t="shared" ref="C63:AN63" si="26">C5*0.04</f>
        <v>0</v>
      </c>
      <c r="D63" s="17">
        <f t="shared" si="26"/>
        <v>0</v>
      </c>
      <c r="E63" s="42">
        <f t="shared" si="26"/>
        <v>0</v>
      </c>
      <c r="F63" s="17">
        <f t="shared" si="26"/>
        <v>0</v>
      </c>
      <c r="G63" s="42">
        <f t="shared" si="26"/>
        <v>0</v>
      </c>
      <c r="H63" s="54">
        <f t="shared" si="26"/>
        <v>0</v>
      </c>
      <c r="I63" s="74">
        <f t="shared" si="26"/>
        <v>0</v>
      </c>
      <c r="J63" s="135">
        <f t="shared" si="26"/>
        <v>0</v>
      </c>
      <c r="K63" s="68">
        <f t="shared" si="26"/>
        <v>0</v>
      </c>
      <c r="L63" s="17">
        <f t="shared" si="26"/>
        <v>0</v>
      </c>
      <c r="M63" s="42">
        <f t="shared" si="26"/>
        <v>0</v>
      </c>
      <c r="N63" s="17">
        <f t="shared" si="26"/>
        <v>0</v>
      </c>
      <c r="O63" s="42">
        <f t="shared" si="26"/>
        <v>0</v>
      </c>
      <c r="P63" s="54">
        <f t="shared" si="26"/>
        <v>740000</v>
      </c>
      <c r="Q63" s="74">
        <f t="shared" si="26"/>
        <v>0</v>
      </c>
      <c r="R63" s="75">
        <f t="shared" si="26"/>
        <v>740000</v>
      </c>
      <c r="S63" s="74">
        <f t="shared" si="26"/>
        <v>0</v>
      </c>
      <c r="T63" s="146">
        <f t="shared" si="26"/>
        <v>740000</v>
      </c>
      <c r="U63" s="68">
        <f t="shared" si="26"/>
        <v>0</v>
      </c>
      <c r="V63" s="17">
        <f t="shared" si="26"/>
        <v>0</v>
      </c>
      <c r="W63" s="42">
        <f t="shared" si="26"/>
        <v>0</v>
      </c>
      <c r="X63" s="17">
        <f t="shared" si="26"/>
        <v>0</v>
      </c>
      <c r="Y63" s="42">
        <f t="shared" si="26"/>
        <v>0</v>
      </c>
      <c r="Z63" s="54">
        <f t="shared" si="26"/>
        <v>0</v>
      </c>
      <c r="AA63" s="138">
        <f t="shared" si="26"/>
        <v>0</v>
      </c>
      <c r="AB63" s="135">
        <f t="shared" si="26"/>
        <v>0</v>
      </c>
      <c r="AC63" s="68">
        <f t="shared" si="26"/>
        <v>0</v>
      </c>
      <c r="AD63" s="17">
        <f t="shared" si="26"/>
        <v>0</v>
      </c>
      <c r="AE63" s="42">
        <f t="shared" si="26"/>
        <v>0</v>
      </c>
      <c r="AF63" s="17">
        <f t="shared" si="26"/>
        <v>0</v>
      </c>
      <c r="AG63" s="42">
        <f t="shared" si="26"/>
        <v>0</v>
      </c>
      <c r="AH63" s="54">
        <f t="shared" si="26"/>
        <v>0</v>
      </c>
      <c r="AI63" s="138">
        <f t="shared" si="26"/>
        <v>0</v>
      </c>
      <c r="AJ63" s="75">
        <f t="shared" si="26"/>
        <v>0</v>
      </c>
      <c r="AK63" s="74">
        <f t="shared" si="26"/>
        <v>0</v>
      </c>
      <c r="AL63" s="78">
        <f t="shared" si="26"/>
        <v>0</v>
      </c>
      <c r="AM63" s="67">
        <f t="shared" si="26"/>
        <v>0</v>
      </c>
      <c r="AN63" s="15">
        <f t="shared" si="26"/>
        <v>740000</v>
      </c>
    </row>
    <row r="64" spans="1:40" ht="20.25" hidden="1" customHeight="1" x14ac:dyDescent="0.15">
      <c r="A64" s="218" t="s">
        <v>60</v>
      </c>
      <c r="B64" s="219"/>
      <c r="C64" s="37">
        <f>C60-C63+C62</f>
        <v>-14727262</v>
      </c>
      <c r="D64" s="9">
        <f t="shared" ref="D64:AN64" si="27">D60-D63+D62</f>
        <v>-18810805.989</v>
      </c>
      <c r="E64" s="37">
        <f t="shared" si="27"/>
        <v>-14727262</v>
      </c>
      <c r="F64" s="9">
        <f t="shared" si="27"/>
        <v>-19456750.417999998</v>
      </c>
      <c r="G64" s="37">
        <f t="shared" si="27"/>
        <v>-14727262</v>
      </c>
      <c r="H64" s="49">
        <f t="shared" si="27"/>
        <v>-21524491.420000002</v>
      </c>
      <c r="I64" s="70">
        <f t="shared" si="27"/>
        <v>0</v>
      </c>
      <c r="J64" s="133">
        <f t="shared" si="27"/>
        <v>-59792047.827</v>
      </c>
      <c r="K64" s="63">
        <f t="shared" si="27"/>
        <v>-14727262</v>
      </c>
      <c r="L64" s="9">
        <f t="shared" si="27"/>
        <v>-18559646.535999998</v>
      </c>
      <c r="M64" s="37">
        <f t="shared" si="27"/>
        <v>-14727262</v>
      </c>
      <c r="N64" s="9">
        <f t="shared" si="27"/>
        <v>-18482219.619000003</v>
      </c>
      <c r="O64" s="37">
        <f t="shared" si="27"/>
        <v>-14727262</v>
      </c>
      <c r="P64" s="49">
        <f t="shared" si="27"/>
        <v>-2535379.7300000004</v>
      </c>
      <c r="Q64" s="70">
        <f t="shared" si="27"/>
        <v>0</v>
      </c>
      <c r="R64" s="71">
        <f t="shared" si="27"/>
        <v>17760000</v>
      </c>
      <c r="S64" s="70">
        <f t="shared" si="27"/>
        <v>0</v>
      </c>
      <c r="T64" s="144">
        <f t="shared" si="27"/>
        <v>17760000</v>
      </c>
      <c r="U64" s="63">
        <f t="shared" si="27"/>
        <v>-14727262</v>
      </c>
      <c r="V64" s="9">
        <f t="shared" si="27"/>
        <v>-18234046.960000001</v>
      </c>
      <c r="W64" s="37">
        <f t="shared" si="27"/>
        <v>-14727262</v>
      </c>
      <c r="X64" s="9">
        <f t="shared" si="27"/>
        <v>-17800997.890000001</v>
      </c>
      <c r="Y64" s="37">
        <f t="shared" si="27"/>
        <v>-14727262</v>
      </c>
      <c r="Z64" s="49">
        <f t="shared" si="27"/>
        <v>-18419207.259999998</v>
      </c>
      <c r="AA64" s="139">
        <f t="shared" si="27"/>
        <v>0</v>
      </c>
      <c r="AB64" s="133">
        <f t="shared" si="27"/>
        <v>0</v>
      </c>
      <c r="AC64" s="63">
        <f t="shared" si="27"/>
        <v>-14727262</v>
      </c>
      <c r="AD64" s="9">
        <f t="shared" si="27"/>
        <v>-18587199.550000001</v>
      </c>
      <c r="AE64" s="37">
        <f t="shared" si="27"/>
        <v>-14727262</v>
      </c>
      <c r="AF64" s="9">
        <f t="shared" si="27"/>
        <v>-31221545.302000001</v>
      </c>
      <c r="AG64" s="37">
        <f t="shared" si="27"/>
        <v>-14727262</v>
      </c>
      <c r="AH64" s="49">
        <f t="shared" si="27"/>
        <v>-18455333.905000001</v>
      </c>
      <c r="AI64" s="139">
        <f t="shared" si="27"/>
        <v>-44181786</v>
      </c>
      <c r="AJ64" s="71">
        <f t="shared" si="27"/>
        <v>-68264078.756999999</v>
      </c>
      <c r="AK64" s="70">
        <f t="shared" si="27"/>
        <v>-44181786</v>
      </c>
      <c r="AL64" s="76">
        <f t="shared" si="27"/>
        <v>-68264078.756999999</v>
      </c>
      <c r="AM64" s="63">
        <f t="shared" si="27"/>
        <v>-176727144</v>
      </c>
      <c r="AN64" s="9">
        <f t="shared" si="27"/>
        <v>-222087624.57900003</v>
      </c>
    </row>
    <row r="65" spans="1:40" s="16" customFormat="1" ht="20.25" hidden="1" customHeight="1" thickBot="1" x14ac:dyDescent="0.2">
      <c r="A65" s="210" t="s">
        <v>61</v>
      </c>
      <c r="B65" s="211"/>
      <c r="C65" s="38" t="str">
        <f t="shared" ref="C65:AN65" si="28">IF(C11=0,"        ― ",C64/C5)</f>
        <v xml:space="preserve">        ― </v>
      </c>
      <c r="D65" s="10" t="str">
        <f t="shared" si="28"/>
        <v xml:space="preserve">        ― </v>
      </c>
      <c r="E65" s="38" t="str">
        <f t="shared" si="28"/>
        <v xml:space="preserve">        ― </v>
      </c>
      <c r="F65" s="10" t="str">
        <f t="shared" si="28"/>
        <v xml:space="preserve">        ― </v>
      </c>
      <c r="G65" s="38" t="str">
        <f t="shared" si="28"/>
        <v xml:space="preserve">        ― </v>
      </c>
      <c r="H65" s="50" t="str">
        <f t="shared" si="28"/>
        <v xml:space="preserve">        ― </v>
      </c>
      <c r="I65" s="72" t="str">
        <f t="shared" si="28"/>
        <v xml:space="preserve">        ― </v>
      </c>
      <c r="J65" s="134" t="str">
        <f t="shared" si="28"/>
        <v xml:space="preserve">        ― </v>
      </c>
      <c r="K65" s="64" t="str">
        <f t="shared" si="28"/>
        <v xml:space="preserve">        ― </v>
      </c>
      <c r="L65" s="10" t="str">
        <f t="shared" si="28"/>
        <v xml:space="preserve">        ― </v>
      </c>
      <c r="M65" s="38" t="str">
        <f t="shared" si="28"/>
        <v xml:space="preserve">        ― </v>
      </c>
      <c r="N65" s="10" t="str">
        <f t="shared" si="28"/>
        <v xml:space="preserve">        ― </v>
      </c>
      <c r="O65" s="38" t="str">
        <f t="shared" si="28"/>
        <v xml:space="preserve">        ― </v>
      </c>
      <c r="P65" s="50" t="str">
        <f t="shared" si="28"/>
        <v xml:space="preserve">        ― </v>
      </c>
      <c r="Q65" s="72" t="str">
        <f t="shared" si="28"/>
        <v xml:space="preserve">        ― </v>
      </c>
      <c r="R65" s="73" t="str">
        <f t="shared" si="28"/>
        <v xml:space="preserve">        ― </v>
      </c>
      <c r="S65" s="72" t="str">
        <f t="shared" si="28"/>
        <v xml:space="preserve">        ― </v>
      </c>
      <c r="T65" s="145" t="str">
        <f t="shared" si="28"/>
        <v xml:space="preserve">        ― </v>
      </c>
      <c r="U65" s="64" t="str">
        <f t="shared" si="28"/>
        <v xml:space="preserve">        ― </v>
      </c>
      <c r="V65" s="10" t="str">
        <f t="shared" si="28"/>
        <v xml:space="preserve">        ― </v>
      </c>
      <c r="W65" s="38" t="str">
        <f t="shared" si="28"/>
        <v xml:space="preserve">        ― </v>
      </c>
      <c r="X65" s="10" t="str">
        <f t="shared" si="28"/>
        <v xml:space="preserve">        ― </v>
      </c>
      <c r="Y65" s="38" t="str">
        <f t="shared" si="28"/>
        <v xml:space="preserve">        ― </v>
      </c>
      <c r="Z65" s="50" t="str">
        <f t="shared" si="28"/>
        <v xml:space="preserve">        ― </v>
      </c>
      <c r="AA65" s="140" t="str">
        <f t="shared" si="28"/>
        <v xml:space="preserve">        ― </v>
      </c>
      <c r="AB65" s="134" t="str">
        <f t="shared" si="28"/>
        <v xml:space="preserve">        ― </v>
      </c>
      <c r="AC65" s="64" t="str">
        <f t="shared" si="28"/>
        <v xml:space="preserve">        ― </v>
      </c>
      <c r="AD65" s="10" t="str">
        <f t="shared" si="28"/>
        <v xml:space="preserve">        ― </v>
      </c>
      <c r="AE65" s="38" t="str">
        <f t="shared" si="28"/>
        <v xml:space="preserve">        ― </v>
      </c>
      <c r="AF65" s="10" t="str">
        <f t="shared" si="28"/>
        <v xml:space="preserve">        ― </v>
      </c>
      <c r="AG65" s="38" t="str">
        <f t="shared" si="28"/>
        <v xml:space="preserve">        ― </v>
      </c>
      <c r="AH65" s="50" t="str">
        <f t="shared" si="28"/>
        <v xml:space="preserve">        ― </v>
      </c>
      <c r="AI65" s="140" t="str">
        <f t="shared" si="28"/>
        <v xml:space="preserve">        ― </v>
      </c>
      <c r="AJ65" s="73" t="str">
        <f t="shared" si="28"/>
        <v xml:space="preserve">        ― </v>
      </c>
      <c r="AK65" s="72" t="str">
        <f t="shared" si="28"/>
        <v xml:space="preserve">        ― </v>
      </c>
      <c r="AL65" s="77" t="str">
        <f t="shared" si="28"/>
        <v xml:space="preserve">        ― </v>
      </c>
      <c r="AM65" s="64" t="str">
        <f t="shared" si="28"/>
        <v xml:space="preserve">        ― </v>
      </c>
      <c r="AN65" s="10" t="str">
        <f t="shared" si="28"/>
        <v xml:space="preserve">        ― </v>
      </c>
    </row>
    <row r="66" spans="1:40" s="20" customFormat="1" ht="30" hidden="1" customHeight="1" thickBot="1" x14ac:dyDescent="0.2">
      <c r="A66" s="92" t="s">
        <v>62</v>
      </c>
      <c r="B66" s="93" t="s">
        <v>63</v>
      </c>
      <c r="C66" s="43"/>
      <c r="D66" s="19"/>
      <c r="E66" s="43"/>
      <c r="F66" s="19"/>
      <c r="G66" s="43"/>
      <c r="H66" s="55"/>
      <c r="I66" s="123"/>
      <c r="J66" s="136"/>
      <c r="K66" s="69"/>
      <c r="L66" s="19"/>
      <c r="M66" s="43"/>
      <c r="N66" s="19"/>
      <c r="O66" s="43"/>
      <c r="P66" s="55"/>
      <c r="Q66" s="123"/>
      <c r="R66" s="124"/>
      <c r="S66" s="147"/>
      <c r="T66" s="148"/>
      <c r="U66" s="69"/>
      <c r="V66" s="19"/>
      <c r="W66" s="43"/>
      <c r="X66" s="19"/>
      <c r="Y66" s="43"/>
      <c r="Z66" s="55"/>
      <c r="AA66" s="141"/>
      <c r="AB66" s="142"/>
      <c r="AC66" s="69"/>
      <c r="AD66" s="19"/>
      <c r="AE66" s="43"/>
      <c r="AF66" s="19"/>
      <c r="AG66" s="43"/>
      <c r="AH66" s="55"/>
      <c r="AI66" s="143"/>
      <c r="AJ66" s="124"/>
      <c r="AK66" s="125"/>
      <c r="AL66" s="126"/>
      <c r="AM66" s="131"/>
      <c r="AN66" s="132"/>
    </row>
  </sheetData>
  <mergeCells count="36">
    <mergeCell ref="C1:I1"/>
    <mergeCell ref="K1:S1"/>
    <mergeCell ref="U1:AA1"/>
    <mergeCell ref="AC1:AN1"/>
    <mergeCell ref="A2:B2"/>
    <mergeCell ref="A21:B21"/>
    <mergeCell ref="W3:X3"/>
    <mergeCell ref="Y3:Z3"/>
    <mergeCell ref="AA3:AB3"/>
    <mergeCell ref="AC3:AD3"/>
    <mergeCell ref="K3:L3"/>
    <mergeCell ref="M3:N3"/>
    <mergeCell ref="O3:P3"/>
    <mergeCell ref="Q3:R3"/>
    <mergeCell ref="S3:T3"/>
    <mergeCell ref="U3:V3"/>
    <mergeCell ref="A3:B3"/>
    <mergeCell ref="C3:D3"/>
    <mergeCell ref="E3:F3"/>
    <mergeCell ref="G3:H3"/>
    <mergeCell ref="I3:J3"/>
    <mergeCell ref="AI3:AJ3"/>
    <mergeCell ref="AK3:AL3"/>
    <mergeCell ref="AM3:AN3"/>
    <mergeCell ref="A4:B4"/>
    <mergeCell ref="A5:B5"/>
    <mergeCell ref="AE3:AF3"/>
    <mergeCell ref="AG3:AH3"/>
    <mergeCell ref="A64:B64"/>
    <mergeCell ref="A65:B65"/>
    <mergeCell ref="A22:B22"/>
    <mergeCell ref="A59:B59"/>
    <mergeCell ref="A60:B60"/>
    <mergeCell ref="A61:B61"/>
    <mergeCell ref="A62:B62"/>
    <mergeCell ref="A63:B63"/>
  </mergeCells>
  <phoneticPr fontId="3"/>
  <printOptions horizontalCentered="1"/>
  <pageMargins left="0.23622047244094491" right="0.23622047244094491" top="0.55118110236220474" bottom="0.15748031496062992" header="0.31496062992125984" footer="0.31496062992125984"/>
  <pageSetup paperSize="8" scale="52" orientation="landscape" r:id="rId1"/>
  <headerFooter alignWithMargins="0">
    <oddHeader xml:space="preserve">&amp;L&amp;D&amp;T&amp;C&amp;"ＭＳ Ｐゴシック,太字"&amp;20第22期　売上・粗利・経費　実績 計画&amp;R
</oddHeader>
    <oddFooter xml:space="preserve">&amp;R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00"/>
  <sheetViews>
    <sheetView view="pageBreakPreview" zoomScale="85" zoomScaleNormal="100" zoomScaleSheetLayoutView="85" workbookViewId="0">
      <pane xSplit="2" ySplit="3" topLeftCell="C259" activePane="bottomRight" state="frozen"/>
      <selection activeCell="N270" sqref="N270:N283"/>
      <selection pane="topRight" activeCell="N270" sqref="N270:N283"/>
      <selection pane="bottomLeft" activeCell="N270" sqref="N270:N283"/>
      <selection pane="bottomRight" activeCell="A214" sqref="A4:A227"/>
    </sheetView>
  </sheetViews>
  <sheetFormatPr defaultRowHeight="13.5" x14ac:dyDescent="0.15"/>
  <cols>
    <col min="1" max="1" width="13.875" style="165" bestFit="1" customWidth="1"/>
    <col min="2" max="2" width="9" style="165"/>
    <col min="3" max="4" width="11.375" style="165" customWidth="1"/>
    <col min="5" max="5" width="11.75" style="165" bestFit="1" customWidth="1"/>
    <col min="6" max="9" width="10.875" style="165" bestFit="1" customWidth="1"/>
    <col min="10" max="10" width="11.25" style="165" bestFit="1" customWidth="1"/>
    <col min="11" max="11" width="10.875" style="165" customWidth="1"/>
    <col min="12" max="14" width="10" style="165" customWidth="1"/>
    <col min="15" max="15" width="13.625" style="165" bestFit="1" customWidth="1"/>
    <col min="16" max="256" width="9" style="165"/>
    <col min="257" max="257" width="13.875" style="165" bestFit="1" customWidth="1"/>
    <col min="258" max="258" width="9" style="165"/>
    <col min="259" max="260" width="11.375" style="165" customWidth="1"/>
    <col min="261" max="261" width="11.75" style="165" bestFit="1" customWidth="1"/>
    <col min="262" max="265" width="10.875" style="165" bestFit="1" customWidth="1"/>
    <col min="266" max="266" width="11.25" style="165" bestFit="1" customWidth="1"/>
    <col min="267" max="267" width="10.875" style="165" customWidth="1"/>
    <col min="268" max="270" width="10" style="165" customWidth="1"/>
    <col min="271" max="271" width="13.625" style="165" bestFit="1" customWidth="1"/>
    <col min="272" max="512" width="9" style="165"/>
    <col min="513" max="513" width="13.875" style="165" bestFit="1" customWidth="1"/>
    <col min="514" max="514" width="9" style="165"/>
    <col min="515" max="516" width="11.375" style="165" customWidth="1"/>
    <col min="517" max="517" width="11.75" style="165" bestFit="1" customWidth="1"/>
    <col min="518" max="521" width="10.875" style="165" bestFit="1" customWidth="1"/>
    <col min="522" max="522" width="11.25" style="165" bestFit="1" customWidth="1"/>
    <col min="523" max="523" width="10.875" style="165" customWidth="1"/>
    <col min="524" max="526" width="10" style="165" customWidth="1"/>
    <col min="527" max="527" width="13.625" style="165" bestFit="1" customWidth="1"/>
    <col min="528" max="768" width="9" style="165"/>
    <col min="769" max="769" width="13.875" style="165" bestFit="1" customWidth="1"/>
    <col min="770" max="770" width="9" style="165"/>
    <col min="771" max="772" width="11.375" style="165" customWidth="1"/>
    <col min="773" max="773" width="11.75" style="165" bestFit="1" customWidth="1"/>
    <col min="774" max="777" width="10.875" style="165" bestFit="1" customWidth="1"/>
    <col min="778" max="778" width="11.25" style="165" bestFit="1" customWidth="1"/>
    <col min="779" max="779" width="10.875" style="165" customWidth="1"/>
    <col min="780" max="782" width="10" style="165" customWidth="1"/>
    <col min="783" max="783" width="13.625" style="165" bestFit="1" customWidth="1"/>
    <col min="784" max="1024" width="9" style="165"/>
    <col min="1025" max="1025" width="13.875" style="165" bestFit="1" customWidth="1"/>
    <col min="1026" max="1026" width="9" style="165"/>
    <col min="1027" max="1028" width="11.375" style="165" customWidth="1"/>
    <col min="1029" max="1029" width="11.75" style="165" bestFit="1" customWidth="1"/>
    <col min="1030" max="1033" width="10.875" style="165" bestFit="1" customWidth="1"/>
    <col min="1034" max="1034" width="11.25" style="165" bestFit="1" customWidth="1"/>
    <col min="1035" max="1035" width="10.875" style="165" customWidth="1"/>
    <col min="1036" max="1038" width="10" style="165" customWidth="1"/>
    <col min="1039" max="1039" width="13.625" style="165" bestFit="1" customWidth="1"/>
    <col min="1040" max="1280" width="9" style="165"/>
    <col min="1281" max="1281" width="13.875" style="165" bestFit="1" customWidth="1"/>
    <col min="1282" max="1282" width="9" style="165"/>
    <col min="1283" max="1284" width="11.375" style="165" customWidth="1"/>
    <col min="1285" max="1285" width="11.75" style="165" bestFit="1" customWidth="1"/>
    <col min="1286" max="1289" width="10.875" style="165" bestFit="1" customWidth="1"/>
    <col min="1290" max="1290" width="11.25" style="165" bestFit="1" customWidth="1"/>
    <col min="1291" max="1291" width="10.875" style="165" customWidth="1"/>
    <col min="1292" max="1294" width="10" style="165" customWidth="1"/>
    <col min="1295" max="1295" width="13.625" style="165" bestFit="1" customWidth="1"/>
    <col min="1296" max="1536" width="9" style="165"/>
    <col min="1537" max="1537" width="13.875" style="165" bestFit="1" customWidth="1"/>
    <col min="1538" max="1538" width="9" style="165"/>
    <col min="1539" max="1540" width="11.375" style="165" customWidth="1"/>
    <col min="1541" max="1541" width="11.75" style="165" bestFit="1" customWidth="1"/>
    <col min="1542" max="1545" width="10.875" style="165" bestFit="1" customWidth="1"/>
    <col min="1546" max="1546" width="11.25" style="165" bestFit="1" customWidth="1"/>
    <col min="1547" max="1547" width="10.875" style="165" customWidth="1"/>
    <col min="1548" max="1550" width="10" style="165" customWidth="1"/>
    <col min="1551" max="1551" width="13.625" style="165" bestFit="1" customWidth="1"/>
    <col min="1552" max="1792" width="9" style="165"/>
    <col min="1793" max="1793" width="13.875" style="165" bestFit="1" customWidth="1"/>
    <col min="1794" max="1794" width="9" style="165"/>
    <col min="1795" max="1796" width="11.375" style="165" customWidth="1"/>
    <col min="1797" max="1797" width="11.75" style="165" bestFit="1" customWidth="1"/>
    <col min="1798" max="1801" width="10.875" style="165" bestFit="1" customWidth="1"/>
    <col min="1802" max="1802" width="11.25" style="165" bestFit="1" customWidth="1"/>
    <col min="1803" max="1803" width="10.875" style="165" customWidth="1"/>
    <col min="1804" max="1806" width="10" style="165" customWidth="1"/>
    <col min="1807" max="1807" width="13.625" style="165" bestFit="1" customWidth="1"/>
    <col min="1808" max="2048" width="9" style="165"/>
    <col min="2049" max="2049" width="13.875" style="165" bestFit="1" customWidth="1"/>
    <col min="2050" max="2050" width="9" style="165"/>
    <col min="2051" max="2052" width="11.375" style="165" customWidth="1"/>
    <col min="2053" max="2053" width="11.75" style="165" bestFit="1" customWidth="1"/>
    <col min="2054" max="2057" width="10.875" style="165" bestFit="1" customWidth="1"/>
    <col min="2058" max="2058" width="11.25" style="165" bestFit="1" customWidth="1"/>
    <col min="2059" max="2059" width="10.875" style="165" customWidth="1"/>
    <col min="2060" max="2062" width="10" style="165" customWidth="1"/>
    <col min="2063" max="2063" width="13.625" style="165" bestFit="1" customWidth="1"/>
    <col min="2064" max="2304" width="9" style="165"/>
    <col min="2305" max="2305" width="13.875" style="165" bestFit="1" customWidth="1"/>
    <col min="2306" max="2306" width="9" style="165"/>
    <col min="2307" max="2308" width="11.375" style="165" customWidth="1"/>
    <col min="2309" max="2309" width="11.75" style="165" bestFit="1" customWidth="1"/>
    <col min="2310" max="2313" width="10.875" style="165" bestFit="1" customWidth="1"/>
    <col min="2314" max="2314" width="11.25" style="165" bestFit="1" customWidth="1"/>
    <col min="2315" max="2315" width="10.875" style="165" customWidth="1"/>
    <col min="2316" max="2318" width="10" style="165" customWidth="1"/>
    <col min="2319" max="2319" width="13.625" style="165" bestFit="1" customWidth="1"/>
    <col min="2320" max="2560" width="9" style="165"/>
    <col min="2561" max="2561" width="13.875" style="165" bestFit="1" customWidth="1"/>
    <col min="2562" max="2562" width="9" style="165"/>
    <col min="2563" max="2564" width="11.375" style="165" customWidth="1"/>
    <col min="2565" max="2565" width="11.75" style="165" bestFit="1" customWidth="1"/>
    <col min="2566" max="2569" width="10.875" style="165" bestFit="1" customWidth="1"/>
    <col min="2570" max="2570" width="11.25" style="165" bestFit="1" customWidth="1"/>
    <col min="2571" max="2571" width="10.875" style="165" customWidth="1"/>
    <col min="2572" max="2574" width="10" style="165" customWidth="1"/>
    <col min="2575" max="2575" width="13.625" style="165" bestFit="1" customWidth="1"/>
    <col min="2576" max="2816" width="9" style="165"/>
    <col min="2817" max="2817" width="13.875" style="165" bestFit="1" customWidth="1"/>
    <col min="2818" max="2818" width="9" style="165"/>
    <col min="2819" max="2820" width="11.375" style="165" customWidth="1"/>
    <col min="2821" max="2821" width="11.75" style="165" bestFit="1" customWidth="1"/>
    <col min="2822" max="2825" width="10.875" style="165" bestFit="1" customWidth="1"/>
    <col min="2826" max="2826" width="11.25" style="165" bestFit="1" customWidth="1"/>
    <col min="2827" max="2827" width="10.875" style="165" customWidth="1"/>
    <col min="2828" max="2830" width="10" style="165" customWidth="1"/>
    <col min="2831" max="2831" width="13.625" style="165" bestFit="1" customWidth="1"/>
    <col min="2832" max="3072" width="9" style="165"/>
    <col min="3073" max="3073" width="13.875" style="165" bestFit="1" customWidth="1"/>
    <col min="3074" max="3074" width="9" style="165"/>
    <col min="3075" max="3076" width="11.375" style="165" customWidth="1"/>
    <col min="3077" max="3077" width="11.75" style="165" bestFit="1" customWidth="1"/>
    <col min="3078" max="3081" width="10.875" style="165" bestFit="1" customWidth="1"/>
    <col min="3082" max="3082" width="11.25" style="165" bestFit="1" customWidth="1"/>
    <col min="3083" max="3083" width="10.875" style="165" customWidth="1"/>
    <col min="3084" max="3086" width="10" style="165" customWidth="1"/>
    <col min="3087" max="3087" width="13.625" style="165" bestFit="1" customWidth="1"/>
    <col min="3088" max="3328" width="9" style="165"/>
    <col min="3329" max="3329" width="13.875" style="165" bestFit="1" customWidth="1"/>
    <col min="3330" max="3330" width="9" style="165"/>
    <col min="3331" max="3332" width="11.375" style="165" customWidth="1"/>
    <col min="3333" max="3333" width="11.75" style="165" bestFit="1" customWidth="1"/>
    <col min="3334" max="3337" width="10.875" style="165" bestFit="1" customWidth="1"/>
    <col min="3338" max="3338" width="11.25" style="165" bestFit="1" customWidth="1"/>
    <col min="3339" max="3339" width="10.875" style="165" customWidth="1"/>
    <col min="3340" max="3342" width="10" style="165" customWidth="1"/>
    <col min="3343" max="3343" width="13.625" style="165" bestFit="1" customWidth="1"/>
    <col min="3344" max="3584" width="9" style="165"/>
    <col min="3585" max="3585" width="13.875" style="165" bestFit="1" customWidth="1"/>
    <col min="3586" max="3586" width="9" style="165"/>
    <col min="3587" max="3588" width="11.375" style="165" customWidth="1"/>
    <col min="3589" max="3589" width="11.75" style="165" bestFit="1" customWidth="1"/>
    <col min="3590" max="3593" width="10.875" style="165" bestFit="1" customWidth="1"/>
    <col min="3594" max="3594" width="11.25" style="165" bestFit="1" customWidth="1"/>
    <col min="3595" max="3595" width="10.875" style="165" customWidth="1"/>
    <col min="3596" max="3598" width="10" style="165" customWidth="1"/>
    <col min="3599" max="3599" width="13.625" style="165" bestFit="1" customWidth="1"/>
    <col min="3600" max="3840" width="9" style="165"/>
    <col min="3841" max="3841" width="13.875" style="165" bestFit="1" customWidth="1"/>
    <col min="3842" max="3842" width="9" style="165"/>
    <col min="3843" max="3844" width="11.375" style="165" customWidth="1"/>
    <col min="3845" max="3845" width="11.75" style="165" bestFit="1" customWidth="1"/>
    <col min="3846" max="3849" width="10.875" style="165" bestFit="1" customWidth="1"/>
    <col min="3850" max="3850" width="11.25" style="165" bestFit="1" customWidth="1"/>
    <col min="3851" max="3851" width="10.875" style="165" customWidth="1"/>
    <col min="3852" max="3854" width="10" style="165" customWidth="1"/>
    <col min="3855" max="3855" width="13.625" style="165" bestFit="1" customWidth="1"/>
    <col min="3856" max="4096" width="9" style="165"/>
    <col min="4097" max="4097" width="13.875" style="165" bestFit="1" customWidth="1"/>
    <col min="4098" max="4098" width="9" style="165"/>
    <col min="4099" max="4100" width="11.375" style="165" customWidth="1"/>
    <col min="4101" max="4101" width="11.75" style="165" bestFit="1" customWidth="1"/>
    <col min="4102" max="4105" width="10.875" style="165" bestFit="1" customWidth="1"/>
    <col min="4106" max="4106" width="11.25" style="165" bestFit="1" customWidth="1"/>
    <col min="4107" max="4107" width="10.875" style="165" customWidth="1"/>
    <col min="4108" max="4110" width="10" style="165" customWidth="1"/>
    <col min="4111" max="4111" width="13.625" style="165" bestFit="1" customWidth="1"/>
    <col min="4112" max="4352" width="9" style="165"/>
    <col min="4353" max="4353" width="13.875" style="165" bestFit="1" customWidth="1"/>
    <col min="4354" max="4354" width="9" style="165"/>
    <col min="4355" max="4356" width="11.375" style="165" customWidth="1"/>
    <col min="4357" max="4357" width="11.75" style="165" bestFit="1" customWidth="1"/>
    <col min="4358" max="4361" width="10.875" style="165" bestFit="1" customWidth="1"/>
    <col min="4362" max="4362" width="11.25" style="165" bestFit="1" customWidth="1"/>
    <col min="4363" max="4363" width="10.875" style="165" customWidth="1"/>
    <col min="4364" max="4366" width="10" style="165" customWidth="1"/>
    <col min="4367" max="4367" width="13.625" style="165" bestFit="1" customWidth="1"/>
    <col min="4368" max="4608" width="9" style="165"/>
    <col min="4609" max="4609" width="13.875" style="165" bestFit="1" customWidth="1"/>
    <col min="4610" max="4610" width="9" style="165"/>
    <col min="4611" max="4612" width="11.375" style="165" customWidth="1"/>
    <col min="4613" max="4613" width="11.75" style="165" bestFit="1" customWidth="1"/>
    <col min="4614" max="4617" width="10.875" style="165" bestFit="1" customWidth="1"/>
    <col min="4618" max="4618" width="11.25" style="165" bestFit="1" customWidth="1"/>
    <col min="4619" max="4619" width="10.875" style="165" customWidth="1"/>
    <col min="4620" max="4622" width="10" style="165" customWidth="1"/>
    <col min="4623" max="4623" width="13.625" style="165" bestFit="1" customWidth="1"/>
    <col min="4624" max="4864" width="9" style="165"/>
    <col min="4865" max="4865" width="13.875" style="165" bestFit="1" customWidth="1"/>
    <col min="4866" max="4866" width="9" style="165"/>
    <col min="4867" max="4868" width="11.375" style="165" customWidth="1"/>
    <col min="4869" max="4869" width="11.75" style="165" bestFit="1" customWidth="1"/>
    <col min="4870" max="4873" width="10.875" style="165" bestFit="1" customWidth="1"/>
    <col min="4874" max="4874" width="11.25" style="165" bestFit="1" customWidth="1"/>
    <col min="4875" max="4875" width="10.875" style="165" customWidth="1"/>
    <col min="4876" max="4878" width="10" style="165" customWidth="1"/>
    <col min="4879" max="4879" width="13.625" style="165" bestFit="1" customWidth="1"/>
    <col min="4880" max="5120" width="9" style="165"/>
    <col min="5121" max="5121" width="13.875" style="165" bestFit="1" customWidth="1"/>
    <col min="5122" max="5122" width="9" style="165"/>
    <col min="5123" max="5124" width="11.375" style="165" customWidth="1"/>
    <col min="5125" max="5125" width="11.75" style="165" bestFit="1" customWidth="1"/>
    <col min="5126" max="5129" width="10.875" style="165" bestFit="1" customWidth="1"/>
    <col min="5130" max="5130" width="11.25" style="165" bestFit="1" customWidth="1"/>
    <col min="5131" max="5131" width="10.875" style="165" customWidth="1"/>
    <col min="5132" max="5134" width="10" style="165" customWidth="1"/>
    <col min="5135" max="5135" width="13.625" style="165" bestFit="1" customWidth="1"/>
    <col min="5136" max="5376" width="9" style="165"/>
    <col min="5377" max="5377" width="13.875" style="165" bestFit="1" customWidth="1"/>
    <col min="5378" max="5378" width="9" style="165"/>
    <col min="5379" max="5380" width="11.375" style="165" customWidth="1"/>
    <col min="5381" max="5381" width="11.75" style="165" bestFit="1" customWidth="1"/>
    <col min="5382" max="5385" width="10.875" style="165" bestFit="1" customWidth="1"/>
    <col min="5386" max="5386" width="11.25" style="165" bestFit="1" customWidth="1"/>
    <col min="5387" max="5387" width="10.875" style="165" customWidth="1"/>
    <col min="5388" max="5390" width="10" style="165" customWidth="1"/>
    <col min="5391" max="5391" width="13.625" style="165" bestFit="1" customWidth="1"/>
    <col min="5392" max="5632" width="9" style="165"/>
    <col min="5633" max="5633" width="13.875" style="165" bestFit="1" customWidth="1"/>
    <col min="5634" max="5634" width="9" style="165"/>
    <col min="5635" max="5636" width="11.375" style="165" customWidth="1"/>
    <col min="5637" max="5637" width="11.75" style="165" bestFit="1" customWidth="1"/>
    <col min="5638" max="5641" width="10.875" style="165" bestFit="1" customWidth="1"/>
    <col min="5642" max="5642" width="11.25" style="165" bestFit="1" customWidth="1"/>
    <col min="5643" max="5643" width="10.875" style="165" customWidth="1"/>
    <col min="5644" max="5646" width="10" style="165" customWidth="1"/>
    <col min="5647" max="5647" width="13.625" style="165" bestFit="1" customWidth="1"/>
    <col min="5648" max="5888" width="9" style="165"/>
    <col min="5889" max="5889" width="13.875" style="165" bestFit="1" customWidth="1"/>
    <col min="5890" max="5890" width="9" style="165"/>
    <col min="5891" max="5892" width="11.375" style="165" customWidth="1"/>
    <col min="5893" max="5893" width="11.75" style="165" bestFit="1" customWidth="1"/>
    <col min="5894" max="5897" width="10.875" style="165" bestFit="1" customWidth="1"/>
    <col min="5898" max="5898" width="11.25" style="165" bestFit="1" customWidth="1"/>
    <col min="5899" max="5899" width="10.875" style="165" customWidth="1"/>
    <col min="5900" max="5902" width="10" style="165" customWidth="1"/>
    <col min="5903" max="5903" width="13.625" style="165" bestFit="1" customWidth="1"/>
    <col min="5904" max="6144" width="9" style="165"/>
    <col min="6145" max="6145" width="13.875" style="165" bestFit="1" customWidth="1"/>
    <col min="6146" max="6146" width="9" style="165"/>
    <col min="6147" max="6148" width="11.375" style="165" customWidth="1"/>
    <col min="6149" max="6149" width="11.75" style="165" bestFit="1" customWidth="1"/>
    <col min="6150" max="6153" width="10.875" style="165" bestFit="1" customWidth="1"/>
    <col min="6154" max="6154" width="11.25" style="165" bestFit="1" customWidth="1"/>
    <col min="6155" max="6155" width="10.875" style="165" customWidth="1"/>
    <col min="6156" max="6158" width="10" style="165" customWidth="1"/>
    <col min="6159" max="6159" width="13.625" style="165" bestFit="1" customWidth="1"/>
    <col min="6160" max="6400" width="9" style="165"/>
    <col min="6401" max="6401" width="13.875" style="165" bestFit="1" customWidth="1"/>
    <col min="6402" max="6402" width="9" style="165"/>
    <col min="6403" max="6404" width="11.375" style="165" customWidth="1"/>
    <col min="6405" max="6405" width="11.75" style="165" bestFit="1" customWidth="1"/>
    <col min="6406" max="6409" width="10.875" style="165" bestFit="1" customWidth="1"/>
    <col min="6410" max="6410" width="11.25" style="165" bestFit="1" customWidth="1"/>
    <col min="6411" max="6411" width="10.875" style="165" customWidth="1"/>
    <col min="6412" max="6414" width="10" style="165" customWidth="1"/>
    <col min="6415" max="6415" width="13.625" style="165" bestFit="1" customWidth="1"/>
    <col min="6416" max="6656" width="9" style="165"/>
    <col min="6657" max="6657" width="13.875" style="165" bestFit="1" customWidth="1"/>
    <col min="6658" max="6658" width="9" style="165"/>
    <col min="6659" max="6660" width="11.375" style="165" customWidth="1"/>
    <col min="6661" max="6661" width="11.75" style="165" bestFit="1" customWidth="1"/>
    <col min="6662" max="6665" width="10.875" style="165" bestFit="1" customWidth="1"/>
    <col min="6666" max="6666" width="11.25" style="165" bestFit="1" customWidth="1"/>
    <col min="6667" max="6667" width="10.875" style="165" customWidth="1"/>
    <col min="6668" max="6670" width="10" style="165" customWidth="1"/>
    <col min="6671" max="6671" width="13.625" style="165" bestFit="1" customWidth="1"/>
    <col min="6672" max="6912" width="9" style="165"/>
    <col min="6913" max="6913" width="13.875" style="165" bestFit="1" customWidth="1"/>
    <col min="6914" max="6914" width="9" style="165"/>
    <col min="6915" max="6916" width="11.375" style="165" customWidth="1"/>
    <col min="6917" max="6917" width="11.75" style="165" bestFit="1" customWidth="1"/>
    <col min="6918" max="6921" width="10.875" style="165" bestFit="1" customWidth="1"/>
    <col min="6922" max="6922" width="11.25" style="165" bestFit="1" customWidth="1"/>
    <col min="6923" max="6923" width="10.875" style="165" customWidth="1"/>
    <col min="6924" max="6926" width="10" style="165" customWidth="1"/>
    <col min="6927" max="6927" width="13.625" style="165" bestFit="1" customWidth="1"/>
    <col min="6928" max="7168" width="9" style="165"/>
    <col min="7169" max="7169" width="13.875" style="165" bestFit="1" customWidth="1"/>
    <col min="7170" max="7170" width="9" style="165"/>
    <col min="7171" max="7172" width="11.375" style="165" customWidth="1"/>
    <col min="7173" max="7173" width="11.75" style="165" bestFit="1" customWidth="1"/>
    <col min="7174" max="7177" width="10.875" style="165" bestFit="1" customWidth="1"/>
    <col min="7178" max="7178" width="11.25" style="165" bestFit="1" customWidth="1"/>
    <col min="7179" max="7179" width="10.875" style="165" customWidth="1"/>
    <col min="7180" max="7182" width="10" style="165" customWidth="1"/>
    <col min="7183" max="7183" width="13.625" style="165" bestFit="1" customWidth="1"/>
    <col min="7184" max="7424" width="9" style="165"/>
    <col min="7425" max="7425" width="13.875" style="165" bestFit="1" customWidth="1"/>
    <col min="7426" max="7426" width="9" style="165"/>
    <col min="7427" max="7428" width="11.375" style="165" customWidth="1"/>
    <col min="7429" max="7429" width="11.75" style="165" bestFit="1" customWidth="1"/>
    <col min="7430" max="7433" width="10.875" style="165" bestFit="1" customWidth="1"/>
    <col min="7434" max="7434" width="11.25" style="165" bestFit="1" customWidth="1"/>
    <col min="7435" max="7435" width="10.875" style="165" customWidth="1"/>
    <col min="7436" max="7438" width="10" style="165" customWidth="1"/>
    <col min="7439" max="7439" width="13.625" style="165" bestFit="1" customWidth="1"/>
    <col min="7440" max="7680" width="9" style="165"/>
    <col min="7681" max="7681" width="13.875" style="165" bestFit="1" customWidth="1"/>
    <col min="7682" max="7682" width="9" style="165"/>
    <col min="7683" max="7684" width="11.375" style="165" customWidth="1"/>
    <col min="7685" max="7685" width="11.75" style="165" bestFit="1" customWidth="1"/>
    <col min="7686" max="7689" width="10.875" style="165" bestFit="1" customWidth="1"/>
    <col min="7690" max="7690" width="11.25" style="165" bestFit="1" customWidth="1"/>
    <col min="7691" max="7691" width="10.875" style="165" customWidth="1"/>
    <col min="7692" max="7694" width="10" style="165" customWidth="1"/>
    <col min="7695" max="7695" width="13.625" style="165" bestFit="1" customWidth="1"/>
    <col min="7696" max="7936" width="9" style="165"/>
    <col min="7937" max="7937" width="13.875" style="165" bestFit="1" customWidth="1"/>
    <col min="7938" max="7938" width="9" style="165"/>
    <col min="7939" max="7940" width="11.375" style="165" customWidth="1"/>
    <col min="7941" max="7941" width="11.75" style="165" bestFit="1" customWidth="1"/>
    <col min="7942" max="7945" width="10.875" style="165" bestFit="1" customWidth="1"/>
    <col min="7946" max="7946" width="11.25" style="165" bestFit="1" customWidth="1"/>
    <col min="7947" max="7947" width="10.875" style="165" customWidth="1"/>
    <col min="7948" max="7950" width="10" style="165" customWidth="1"/>
    <col min="7951" max="7951" width="13.625" style="165" bestFit="1" customWidth="1"/>
    <col min="7952" max="8192" width="9" style="165"/>
    <col min="8193" max="8193" width="13.875" style="165" bestFit="1" customWidth="1"/>
    <col min="8194" max="8194" width="9" style="165"/>
    <col min="8195" max="8196" width="11.375" style="165" customWidth="1"/>
    <col min="8197" max="8197" width="11.75" style="165" bestFit="1" customWidth="1"/>
    <col min="8198" max="8201" width="10.875" style="165" bestFit="1" customWidth="1"/>
    <col min="8202" max="8202" width="11.25" style="165" bestFit="1" customWidth="1"/>
    <col min="8203" max="8203" width="10.875" style="165" customWidth="1"/>
    <col min="8204" max="8206" width="10" style="165" customWidth="1"/>
    <col min="8207" max="8207" width="13.625" style="165" bestFit="1" customWidth="1"/>
    <col min="8208" max="8448" width="9" style="165"/>
    <col min="8449" max="8449" width="13.875" style="165" bestFit="1" customWidth="1"/>
    <col min="8450" max="8450" width="9" style="165"/>
    <col min="8451" max="8452" width="11.375" style="165" customWidth="1"/>
    <col min="8453" max="8453" width="11.75" style="165" bestFit="1" customWidth="1"/>
    <col min="8454" max="8457" width="10.875" style="165" bestFit="1" customWidth="1"/>
    <col min="8458" max="8458" width="11.25" style="165" bestFit="1" customWidth="1"/>
    <col min="8459" max="8459" width="10.875" style="165" customWidth="1"/>
    <col min="8460" max="8462" width="10" style="165" customWidth="1"/>
    <col min="8463" max="8463" width="13.625" style="165" bestFit="1" customWidth="1"/>
    <col min="8464" max="8704" width="9" style="165"/>
    <col min="8705" max="8705" width="13.875" style="165" bestFit="1" customWidth="1"/>
    <col min="8706" max="8706" width="9" style="165"/>
    <col min="8707" max="8708" width="11.375" style="165" customWidth="1"/>
    <col min="8709" max="8709" width="11.75" style="165" bestFit="1" customWidth="1"/>
    <col min="8710" max="8713" width="10.875" style="165" bestFit="1" customWidth="1"/>
    <col min="8714" max="8714" width="11.25" style="165" bestFit="1" customWidth="1"/>
    <col min="8715" max="8715" width="10.875" style="165" customWidth="1"/>
    <col min="8716" max="8718" width="10" style="165" customWidth="1"/>
    <col min="8719" max="8719" width="13.625" style="165" bestFit="1" customWidth="1"/>
    <col min="8720" max="8960" width="9" style="165"/>
    <col min="8961" max="8961" width="13.875" style="165" bestFit="1" customWidth="1"/>
    <col min="8962" max="8962" width="9" style="165"/>
    <col min="8963" max="8964" width="11.375" style="165" customWidth="1"/>
    <col min="8965" max="8965" width="11.75" style="165" bestFit="1" customWidth="1"/>
    <col min="8966" max="8969" width="10.875" style="165" bestFit="1" customWidth="1"/>
    <col min="8970" max="8970" width="11.25" style="165" bestFit="1" customWidth="1"/>
    <col min="8971" max="8971" width="10.875" style="165" customWidth="1"/>
    <col min="8972" max="8974" width="10" style="165" customWidth="1"/>
    <col min="8975" max="8975" width="13.625" style="165" bestFit="1" customWidth="1"/>
    <col min="8976" max="9216" width="9" style="165"/>
    <col min="9217" max="9217" width="13.875" style="165" bestFit="1" customWidth="1"/>
    <col min="9218" max="9218" width="9" style="165"/>
    <col min="9219" max="9220" width="11.375" style="165" customWidth="1"/>
    <col min="9221" max="9221" width="11.75" style="165" bestFit="1" customWidth="1"/>
    <col min="9222" max="9225" width="10.875" style="165" bestFit="1" customWidth="1"/>
    <col min="9226" max="9226" width="11.25" style="165" bestFit="1" customWidth="1"/>
    <col min="9227" max="9227" width="10.875" style="165" customWidth="1"/>
    <col min="9228" max="9230" width="10" style="165" customWidth="1"/>
    <col min="9231" max="9231" width="13.625" style="165" bestFit="1" customWidth="1"/>
    <col min="9232" max="9472" width="9" style="165"/>
    <col min="9473" max="9473" width="13.875" style="165" bestFit="1" customWidth="1"/>
    <col min="9474" max="9474" width="9" style="165"/>
    <col min="9475" max="9476" width="11.375" style="165" customWidth="1"/>
    <col min="9477" max="9477" width="11.75" style="165" bestFit="1" customWidth="1"/>
    <col min="9478" max="9481" width="10.875" style="165" bestFit="1" customWidth="1"/>
    <col min="9482" max="9482" width="11.25" style="165" bestFit="1" customWidth="1"/>
    <col min="9483" max="9483" width="10.875" style="165" customWidth="1"/>
    <col min="9484" max="9486" width="10" style="165" customWidth="1"/>
    <col min="9487" max="9487" width="13.625" style="165" bestFit="1" customWidth="1"/>
    <col min="9488" max="9728" width="9" style="165"/>
    <col min="9729" max="9729" width="13.875" style="165" bestFit="1" customWidth="1"/>
    <col min="9730" max="9730" width="9" style="165"/>
    <col min="9731" max="9732" width="11.375" style="165" customWidth="1"/>
    <col min="9733" max="9733" width="11.75" style="165" bestFit="1" customWidth="1"/>
    <col min="9734" max="9737" width="10.875" style="165" bestFit="1" customWidth="1"/>
    <col min="9738" max="9738" width="11.25" style="165" bestFit="1" customWidth="1"/>
    <col min="9739" max="9739" width="10.875" style="165" customWidth="1"/>
    <col min="9740" max="9742" width="10" style="165" customWidth="1"/>
    <col min="9743" max="9743" width="13.625" style="165" bestFit="1" customWidth="1"/>
    <col min="9744" max="9984" width="9" style="165"/>
    <col min="9985" max="9985" width="13.875" style="165" bestFit="1" customWidth="1"/>
    <col min="9986" max="9986" width="9" style="165"/>
    <col min="9987" max="9988" width="11.375" style="165" customWidth="1"/>
    <col min="9989" max="9989" width="11.75" style="165" bestFit="1" customWidth="1"/>
    <col min="9990" max="9993" width="10.875" style="165" bestFit="1" customWidth="1"/>
    <col min="9994" max="9994" width="11.25" style="165" bestFit="1" customWidth="1"/>
    <col min="9995" max="9995" width="10.875" style="165" customWidth="1"/>
    <col min="9996" max="9998" width="10" style="165" customWidth="1"/>
    <col min="9999" max="9999" width="13.625" style="165" bestFit="1" customWidth="1"/>
    <col min="10000" max="10240" width="9" style="165"/>
    <col min="10241" max="10241" width="13.875" style="165" bestFit="1" customWidth="1"/>
    <col min="10242" max="10242" width="9" style="165"/>
    <col min="10243" max="10244" width="11.375" style="165" customWidth="1"/>
    <col min="10245" max="10245" width="11.75" style="165" bestFit="1" customWidth="1"/>
    <col min="10246" max="10249" width="10.875" style="165" bestFit="1" customWidth="1"/>
    <col min="10250" max="10250" width="11.25" style="165" bestFit="1" customWidth="1"/>
    <col min="10251" max="10251" width="10.875" style="165" customWidth="1"/>
    <col min="10252" max="10254" width="10" style="165" customWidth="1"/>
    <col min="10255" max="10255" width="13.625" style="165" bestFit="1" customWidth="1"/>
    <col min="10256" max="10496" width="9" style="165"/>
    <col min="10497" max="10497" width="13.875" style="165" bestFit="1" customWidth="1"/>
    <col min="10498" max="10498" width="9" style="165"/>
    <col min="10499" max="10500" width="11.375" style="165" customWidth="1"/>
    <col min="10501" max="10501" width="11.75" style="165" bestFit="1" customWidth="1"/>
    <col min="10502" max="10505" width="10.875" style="165" bestFit="1" customWidth="1"/>
    <col min="10506" max="10506" width="11.25" style="165" bestFit="1" customWidth="1"/>
    <col min="10507" max="10507" width="10.875" style="165" customWidth="1"/>
    <col min="10508" max="10510" width="10" style="165" customWidth="1"/>
    <col min="10511" max="10511" width="13.625" style="165" bestFit="1" customWidth="1"/>
    <col min="10512" max="10752" width="9" style="165"/>
    <col min="10753" max="10753" width="13.875" style="165" bestFit="1" customWidth="1"/>
    <col min="10754" max="10754" width="9" style="165"/>
    <col min="10755" max="10756" width="11.375" style="165" customWidth="1"/>
    <col min="10757" max="10757" width="11.75" style="165" bestFit="1" customWidth="1"/>
    <col min="10758" max="10761" width="10.875" style="165" bestFit="1" customWidth="1"/>
    <col min="10762" max="10762" width="11.25" style="165" bestFit="1" customWidth="1"/>
    <col min="10763" max="10763" width="10.875" style="165" customWidth="1"/>
    <col min="10764" max="10766" width="10" style="165" customWidth="1"/>
    <col min="10767" max="10767" width="13.625" style="165" bestFit="1" customWidth="1"/>
    <col min="10768" max="11008" width="9" style="165"/>
    <col min="11009" max="11009" width="13.875" style="165" bestFit="1" customWidth="1"/>
    <col min="11010" max="11010" width="9" style="165"/>
    <col min="11011" max="11012" width="11.375" style="165" customWidth="1"/>
    <col min="11013" max="11013" width="11.75" style="165" bestFit="1" customWidth="1"/>
    <col min="11014" max="11017" width="10.875" style="165" bestFit="1" customWidth="1"/>
    <col min="11018" max="11018" width="11.25" style="165" bestFit="1" customWidth="1"/>
    <col min="11019" max="11019" width="10.875" style="165" customWidth="1"/>
    <col min="11020" max="11022" width="10" style="165" customWidth="1"/>
    <col min="11023" max="11023" width="13.625" style="165" bestFit="1" customWidth="1"/>
    <col min="11024" max="11264" width="9" style="165"/>
    <col min="11265" max="11265" width="13.875" style="165" bestFit="1" customWidth="1"/>
    <col min="11266" max="11266" width="9" style="165"/>
    <col min="11267" max="11268" width="11.375" style="165" customWidth="1"/>
    <col min="11269" max="11269" width="11.75" style="165" bestFit="1" customWidth="1"/>
    <col min="11270" max="11273" width="10.875" style="165" bestFit="1" customWidth="1"/>
    <col min="11274" max="11274" width="11.25" style="165" bestFit="1" customWidth="1"/>
    <col min="11275" max="11275" width="10.875" style="165" customWidth="1"/>
    <col min="11276" max="11278" width="10" style="165" customWidth="1"/>
    <col min="11279" max="11279" width="13.625" style="165" bestFit="1" customWidth="1"/>
    <col min="11280" max="11520" width="9" style="165"/>
    <col min="11521" max="11521" width="13.875" style="165" bestFit="1" customWidth="1"/>
    <col min="11522" max="11522" width="9" style="165"/>
    <col min="11523" max="11524" width="11.375" style="165" customWidth="1"/>
    <col min="11525" max="11525" width="11.75" style="165" bestFit="1" customWidth="1"/>
    <col min="11526" max="11529" width="10.875" style="165" bestFit="1" customWidth="1"/>
    <col min="11530" max="11530" width="11.25" style="165" bestFit="1" customWidth="1"/>
    <col min="11531" max="11531" width="10.875" style="165" customWidth="1"/>
    <col min="11532" max="11534" width="10" style="165" customWidth="1"/>
    <col min="11535" max="11535" width="13.625" style="165" bestFit="1" customWidth="1"/>
    <col min="11536" max="11776" width="9" style="165"/>
    <col min="11777" max="11777" width="13.875" style="165" bestFit="1" customWidth="1"/>
    <col min="11778" max="11778" width="9" style="165"/>
    <col min="11779" max="11780" width="11.375" style="165" customWidth="1"/>
    <col min="11781" max="11781" width="11.75" style="165" bestFit="1" customWidth="1"/>
    <col min="11782" max="11785" width="10.875" style="165" bestFit="1" customWidth="1"/>
    <col min="11786" max="11786" width="11.25" style="165" bestFit="1" customWidth="1"/>
    <col min="11787" max="11787" width="10.875" style="165" customWidth="1"/>
    <col min="11788" max="11790" width="10" style="165" customWidth="1"/>
    <col min="11791" max="11791" width="13.625" style="165" bestFit="1" customWidth="1"/>
    <col min="11792" max="12032" width="9" style="165"/>
    <col min="12033" max="12033" width="13.875" style="165" bestFit="1" customWidth="1"/>
    <col min="12034" max="12034" width="9" style="165"/>
    <col min="12035" max="12036" width="11.375" style="165" customWidth="1"/>
    <col min="12037" max="12037" width="11.75" style="165" bestFit="1" customWidth="1"/>
    <col min="12038" max="12041" width="10.875" style="165" bestFit="1" customWidth="1"/>
    <col min="12042" max="12042" width="11.25" style="165" bestFit="1" customWidth="1"/>
    <col min="12043" max="12043" width="10.875" style="165" customWidth="1"/>
    <col min="12044" max="12046" width="10" style="165" customWidth="1"/>
    <col min="12047" max="12047" width="13.625" style="165" bestFit="1" customWidth="1"/>
    <col min="12048" max="12288" width="9" style="165"/>
    <col min="12289" max="12289" width="13.875" style="165" bestFit="1" customWidth="1"/>
    <col min="12290" max="12290" width="9" style="165"/>
    <col min="12291" max="12292" width="11.375" style="165" customWidth="1"/>
    <col min="12293" max="12293" width="11.75" style="165" bestFit="1" customWidth="1"/>
    <col min="12294" max="12297" width="10.875" style="165" bestFit="1" customWidth="1"/>
    <col min="12298" max="12298" width="11.25" style="165" bestFit="1" customWidth="1"/>
    <col min="12299" max="12299" width="10.875" style="165" customWidth="1"/>
    <col min="12300" max="12302" width="10" style="165" customWidth="1"/>
    <col min="12303" max="12303" width="13.625" style="165" bestFit="1" customWidth="1"/>
    <col min="12304" max="12544" width="9" style="165"/>
    <col min="12545" max="12545" width="13.875" style="165" bestFit="1" customWidth="1"/>
    <col min="12546" max="12546" width="9" style="165"/>
    <col min="12547" max="12548" width="11.375" style="165" customWidth="1"/>
    <col min="12549" max="12549" width="11.75" style="165" bestFit="1" customWidth="1"/>
    <col min="12550" max="12553" width="10.875" style="165" bestFit="1" customWidth="1"/>
    <col min="12554" max="12554" width="11.25" style="165" bestFit="1" customWidth="1"/>
    <col min="12555" max="12555" width="10.875" style="165" customWidth="1"/>
    <col min="12556" max="12558" width="10" style="165" customWidth="1"/>
    <col min="12559" max="12559" width="13.625" style="165" bestFit="1" customWidth="1"/>
    <col min="12560" max="12800" width="9" style="165"/>
    <col min="12801" max="12801" width="13.875" style="165" bestFit="1" customWidth="1"/>
    <col min="12802" max="12802" width="9" style="165"/>
    <col min="12803" max="12804" width="11.375" style="165" customWidth="1"/>
    <col min="12805" max="12805" width="11.75" style="165" bestFit="1" customWidth="1"/>
    <col min="12806" max="12809" width="10.875" style="165" bestFit="1" customWidth="1"/>
    <col min="12810" max="12810" width="11.25" style="165" bestFit="1" customWidth="1"/>
    <col min="12811" max="12811" width="10.875" style="165" customWidth="1"/>
    <col min="12812" max="12814" width="10" style="165" customWidth="1"/>
    <col min="12815" max="12815" width="13.625" style="165" bestFit="1" customWidth="1"/>
    <col min="12816" max="13056" width="9" style="165"/>
    <col min="13057" max="13057" width="13.875" style="165" bestFit="1" customWidth="1"/>
    <col min="13058" max="13058" width="9" style="165"/>
    <col min="13059" max="13060" width="11.375" style="165" customWidth="1"/>
    <col min="13061" max="13061" width="11.75" style="165" bestFit="1" customWidth="1"/>
    <col min="13062" max="13065" width="10.875" style="165" bestFit="1" customWidth="1"/>
    <col min="13066" max="13066" width="11.25" style="165" bestFit="1" customWidth="1"/>
    <col min="13067" max="13067" width="10.875" style="165" customWidth="1"/>
    <col min="13068" max="13070" width="10" style="165" customWidth="1"/>
    <col min="13071" max="13071" width="13.625" style="165" bestFit="1" customWidth="1"/>
    <col min="13072" max="13312" width="9" style="165"/>
    <col min="13313" max="13313" width="13.875" style="165" bestFit="1" customWidth="1"/>
    <col min="13314" max="13314" width="9" style="165"/>
    <col min="13315" max="13316" width="11.375" style="165" customWidth="1"/>
    <col min="13317" max="13317" width="11.75" style="165" bestFit="1" customWidth="1"/>
    <col min="13318" max="13321" width="10.875" style="165" bestFit="1" customWidth="1"/>
    <col min="13322" max="13322" width="11.25" style="165" bestFit="1" customWidth="1"/>
    <col min="13323" max="13323" width="10.875" style="165" customWidth="1"/>
    <col min="13324" max="13326" width="10" style="165" customWidth="1"/>
    <col min="13327" max="13327" width="13.625" style="165" bestFit="1" customWidth="1"/>
    <col min="13328" max="13568" width="9" style="165"/>
    <col min="13569" max="13569" width="13.875" style="165" bestFit="1" customWidth="1"/>
    <col min="13570" max="13570" width="9" style="165"/>
    <col min="13571" max="13572" width="11.375" style="165" customWidth="1"/>
    <col min="13573" max="13573" width="11.75" style="165" bestFit="1" customWidth="1"/>
    <col min="13574" max="13577" width="10.875" style="165" bestFit="1" customWidth="1"/>
    <col min="13578" max="13578" width="11.25" style="165" bestFit="1" customWidth="1"/>
    <col min="13579" max="13579" width="10.875" style="165" customWidth="1"/>
    <col min="13580" max="13582" width="10" style="165" customWidth="1"/>
    <col min="13583" max="13583" width="13.625" style="165" bestFit="1" customWidth="1"/>
    <col min="13584" max="13824" width="9" style="165"/>
    <col min="13825" max="13825" width="13.875" style="165" bestFit="1" customWidth="1"/>
    <col min="13826" max="13826" width="9" style="165"/>
    <col min="13827" max="13828" width="11.375" style="165" customWidth="1"/>
    <col min="13829" max="13829" width="11.75" style="165" bestFit="1" customWidth="1"/>
    <col min="13830" max="13833" width="10.875" style="165" bestFit="1" customWidth="1"/>
    <col min="13834" max="13834" width="11.25" style="165" bestFit="1" customWidth="1"/>
    <col min="13835" max="13835" width="10.875" style="165" customWidth="1"/>
    <col min="13836" max="13838" width="10" style="165" customWidth="1"/>
    <col min="13839" max="13839" width="13.625" style="165" bestFit="1" customWidth="1"/>
    <col min="13840" max="14080" width="9" style="165"/>
    <col min="14081" max="14081" width="13.875" style="165" bestFit="1" customWidth="1"/>
    <col min="14082" max="14082" width="9" style="165"/>
    <col min="14083" max="14084" width="11.375" style="165" customWidth="1"/>
    <col min="14085" max="14085" width="11.75" style="165" bestFit="1" customWidth="1"/>
    <col min="14086" max="14089" width="10.875" style="165" bestFit="1" customWidth="1"/>
    <col min="14090" max="14090" width="11.25" style="165" bestFit="1" customWidth="1"/>
    <col min="14091" max="14091" width="10.875" style="165" customWidth="1"/>
    <col min="14092" max="14094" width="10" style="165" customWidth="1"/>
    <col min="14095" max="14095" width="13.625" style="165" bestFit="1" customWidth="1"/>
    <col min="14096" max="14336" width="9" style="165"/>
    <col min="14337" max="14337" width="13.875" style="165" bestFit="1" customWidth="1"/>
    <col min="14338" max="14338" width="9" style="165"/>
    <col min="14339" max="14340" width="11.375" style="165" customWidth="1"/>
    <col min="14341" max="14341" width="11.75" style="165" bestFit="1" customWidth="1"/>
    <col min="14342" max="14345" width="10.875" style="165" bestFit="1" customWidth="1"/>
    <col min="14346" max="14346" width="11.25" style="165" bestFit="1" customWidth="1"/>
    <col min="14347" max="14347" width="10.875" style="165" customWidth="1"/>
    <col min="14348" max="14350" width="10" style="165" customWidth="1"/>
    <col min="14351" max="14351" width="13.625" style="165" bestFit="1" customWidth="1"/>
    <col min="14352" max="14592" width="9" style="165"/>
    <col min="14593" max="14593" width="13.875" style="165" bestFit="1" customWidth="1"/>
    <col min="14594" max="14594" width="9" style="165"/>
    <col min="14595" max="14596" width="11.375" style="165" customWidth="1"/>
    <col min="14597" max="14597" width="11.75" style="165" bestFit="1" customWidth="1"/>
    <col min="14598" max="14601" width="10.875" style="165" bestFit="1" customWidth="1"/>
    <col min="14602" max="14602" width="11.25" style="165" bestFit="1" customWidth="1"/>
    <col min="14603" max="14603" width="10.875" style="165" customWidth="1"/>
    <col min="14604" max="14606" width="10" style="165" customWidth="1"/>
    <col min="14607" max="14607" width="13.625" style="165" bestFit="1" customWidth="1"/>
    <col min="14608" max="14848" width="9" style="165"/>
    <col min="14849" max="14849" width="13.875" style="165" bestFit="1" customWidth="1"/>
    <col min="14850" max="14850" width="9" style="165"/>
    <col min="14851" max="14852" width="11.375" style="165" customWidth="1"/>
    <col min="14853" max="14853" width="11.75" style="165" bestFit="1" customWidth="1"/>
    <col min="14854" max="14857" width="10.875" style="165" bestFit="1" customWidth="1"/>
    <col min="14858" max="14858" width="11.25" style="165" bestFit="1" customWidth="1"/>
    <col min="14859" max="14859" width="10.875" style="165" customWidth="1"/>
    <col min="14860" max="14862" width="10" style="165" customWidth="1"/>
    <col min="14863" max="14863" width="13.625" style="165" bestFit="1" customWidth="1"/>
    <col min="14864" max="15104" width="9" style="165"/>
    <col min="15105" max="15105" width="13.875" style="165" bestFit="1" customWidth="1"/>
    <col min="15106" max="15106" width="9" style="165"/>
    <col min="15107" max="15108" width="11.375" style="165" customWidth="1"/>
    <col min="15109" max="15109" width="11.75" style="165" bestFit="1" customWidth="1"/>
    <col min="15110" max="15113" width="10.875" style="165" bestFit="1" customWidth="1"/>
    <col min="15114" max="15114" width="11.25" style="165" bestFit="1" customWidth="1"/>
    <col min="15115" max="15115" width="10.875" style="165" customWidth="1"/>
    <col min="15116" max="15118" width="10" style="165" customWidth="1"/>
    <col min="15119" max="15119" width="13.625" style="165" bestFit="1" customWidth="1"/>
    <col min="15120" max="15360" width="9" style="165"/>
    <col min="15361" max="15361" width="13.875" style="165" bestFit="1" customWidth="1"/>
    <col min="15362" max="15362" width="9" style="165"/>
    <col min="15363" max="15364" width="11.375" style="165" customWidth="1"/>
    <col min="15365" max="15365" width="11.75" style="165" bestFit="1" customWidth="1"/>
    <col min="15366" max="15369" width="10.875" style="165" bestFit="1" customWidth="1"/>
    <col min="15370" max="15370" width="11.25" style="165" bestFit="1" customWidth="1"/>
    <col min="15371" max="15371" width="10.875" style="165" customWidth="1"/>
    <col min="15372" max="15374" width="10" style="165" customWidth="1"/>
    <col min="15375" max="15375" width="13.625" style="165" bestFit="1" customWidth="1"/>
    <col min="15376" max="15616" width="9" style="165"/>
    <col min="15617" max="15617" width="13.875" style="165" bestFit="1" customWidth="1"/>
    <col min="15618" max="15618" width="9" style="165"/>
    <col min="15619" max="15620" width="11.375" style="165" customWidth="1"/>
    <col min="15621" max="15621" width="11.75" style="165" bestFit="1" customWidth="1"/>
    <col min="15622" max="15625" width="10.875" style="165" bestFit="1" customWidth="1"/>
    <col min="15626" max="15626" width="11.25" style="165" bestFit="1" customWidth="1"/>
    <col min="15627" max="15627" width="10.875" style="165" customWidth="1"/>
    <col min="15628" max="15630" width="10" style="165" customWidth="1"/>
    <col min="15631" max="15631" width="13.625" style="165" bestFit="1" customWidth="1"/>
    <col min="15632" max="15872" width="9" style="165"/>
    <col min="15873" max="15873" width="13.875" style="165" bestFit="1" customWidth="1"/>
    <col min="15874" max="15874" width="9" style="165"/>
    <col min="15875" max="15876" width="11.375" style="165" customWidth="1"/>
    <col min="15877" max="15877" width="11.75" style="165" bestFit="1" customWidth="1"/>
    <col min="15878" max="15881" width="10.875" style="165" bestFit="1" customWidth="1"/>
    <col min="15882" max="15882" width="11.25" style="165" bestFit="1" customWidth="1"/>
    <col min="15883" max="15883" width="10.875" style="165" customWidth="1"/>
    <col min="15884" max="15886" width="10" style="165" customWidth="1"/>
    <col min="15887" max="15887" width="13.625" style="165" bestFit="1" customWidth="1"/>
    <col min="15888" max="16128" width="9" style="165"/>
    <col min="16129" max="16129" width="13.875" style="165" bestFit="1" customWidth="1"/>
    <col min="16130" max="16130" width="9" style="165"/>
    <col min="16131" max="16132" width="11.375" style="165" customWidth="1"/>
    <col min="16133" max="16133" width="11.75" style="165" bestFit="1" customWidth="1"/>
    <col min="16134" max="16137" width="10.875" style="165" bestFit="1" customWidth="1"/>
    <col min="16138" max="16138" width="11.25" style="165" bestFit="1" customWidth="1"/>
    <col min="16139" max="16139" width="10.875" style="165" customWidth="1"/>
    <col min="16140" max="16142" width="10" style="165" customWidth="1"/>
    <col min="16143" max="16143" width="13.625" style="165" bestFit="1" customWidth="1"/>
    <col min="16144" max="16384" width="9" style="165"/>
  </cols>
  <sheetData>
    <row r="1" spans="1:15" ht="26.25" customHeight="1" x14ac:dyDescent="0.2">
      <c r="A1" s="245" t="s">
        <v>175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</row>
    <row r="2" spans="1:15" ht="11.25" customHeight="1" thickBo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1:15" ht="16.5" customHeight="1" thickBot="1" x14ac:dyDescent="0.2">
      <c r="A3" s="173" t="s">
        <v>143</v>
      </c>
      <c r="B3" s="174"/>
      <c r="C3" s="175" t="s">
        <v>144</v>
      </c>
      <c r="D3" s="175" t="s">
        <v>145</v>
      </c>
      <c r="E3" s="175" t="s">
        <v>146</v>
      </c>
      <c r="F3" s="175" t="s">
        <v>147</v>
      </c>
      <c r="G3" s="175" t="s">
        <v>148</v>
      </c>
      <c r="H3" s="176" t="s">
        <v>176</v>
      </c>
      <c r="I3" s="175" t="s">
        <v>172</v>
      </c>
      <c r="J3" s="175" t="s">
        <v>149</v>
      </c>
      <c r="K3" s="175" t="s">
        <v>150</v>
      </c>
      <c r="L3" s="175" t="s">
        <v>151</v>
      </c>
      <c r="M3" s="175" t="s">
        <v>152</v>
      </c>
      <c r="N3" s="175" t="s">
        <v>153</v>
      </c>
      <c r="O3" s="175" t="s">
        <v>154</v>
      </c>
    </row>
    <row r="4" spans="1:15" ht="16.5" customHeight="1" x14ac:dyDescent="0.15">
      <c r="A4" s="246"/>
      <c r="B4" s="164" t="s">
        <v>21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3">
        <f>SUM(C4:N4)</f>
        <v>0</v>
      </c>
    </row>
    <row r="5" spans="1:15" ht="16.5" customHeight="1" x14ac:dyDescent="0.15">
      <c r="A5" s="247"/>
      <c r="B5" s="166" t="s">
        <v>155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>
        <f t="shared" ref="O5:O15" si="0">SUM(C5:N5)</f>
        <v>0</v>
      </c>
    </row>
    <row r="6" spans="1:15" ht="16.5" customHeight="1" x14ac:dyDescent="0.15">
      <c r="A6" s="247"/>
      <c r="B6" s="166" t="s">
        <v>156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>
        <f t="shared" si="0"/>
        <v>0</v>
      </c>
    </row>
    <row r="7" spans="1:15" ht="16.5" customHeight="1" x14ac:dyDescent="0.15">
      <c r="A7" s="247"/>
      <c r="B7" s="166" t="s">
        <v>26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>
        <f t="shared" si="0"/>
        <v>0</v>
      </c>
    </row>
    <row r="8" spans="1:15" ht="16.5" customHeight="1" x14ac:dyDescent="0.15">
      <c r="A8" s="247"/>
      <c r="B8" s="166" t="s">
        <v>66</v>
      </c>
      <c r="C8" s="106"/>
      <c r="D8" s="105"/>
      <c r="E8" s="105"/>
      <c r="F8" s="105"/>
      <c r="G8" s="105"/>
      <c r="H8" s="105"/>
      <c r="I8" s="106"/>
      <c r="J8" s="106"/>
      <c r="K8" s="106"/>
      <c r="L8" s="106"/>
      <c r="M8" s="106"/>
      <c r="N8" s="106"/>
      <c r="O8" s="105">
        <f t="shared" si="0"/>
        <v>0</v>
      </c>
    </row>
    <row r="9" spans="1:15" ht="16.5" customHeight="1" x14ac:dyDescent="0.15">
      <c r="A9" s="247"/>
      <c r="B9" s="166" t="s">
        <v>22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>
        <f t="shared" si="0"/>
        <v>0</v>
      </c>
    </row>
    <row r="10" spans="1:15" ht="16.5" customHeight="1" x14ac:dyDescent="0.15">
      <c r="A10" s="247"/>
      <c r="B10" s="166" t="s">
        <v>67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>
        <f t="shared" si="0"/>
        <v>0</v>
      </c>
    </row>
    <row r="11" spans="1:15" ht="16.5" customHeight="1" x14ac:dyDescent="0.15">
      <c r="A11" s="247"/>
      <c r="B11" s="166" t="s">
        <v>23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>
        <f t="shared" si="0"/>
        <v>0</v>
      </c>
    </row>
    <row r="12" spans="1:15" ht="16.5" customHeight="1" x14ac:dyDescent="0.15">
      <c r="A12" s="247"/>
      <c r="B12" s="166" t="s">
        <v>157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>
        <f t="shared" si="0"/>
        <v>0</v>
      </c>
    </row>
    <row r="13" spans="1:15" ht="16.5" customHeight="1" x14ac:dyDescent="0.15">
      <c r="A13" s="247"/>
      <c r="B13" s="166" t="s">
        <v>158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>
        <f t="shared" si="0"/>
        <v>0</v>
      </c>
    </row>
    <row r="14" spans="1:15" ht="16.5" customHeight="1" x14ac:dyDescent="0.15">
      <c r="A14" s="247"/>
      <c r="B14" s="171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</row>
    <row r="15" spans="1:15" ht="16.5" customHeight="1" thickBot="1" x14ac:dyDescent="0.2">
      <c r="A15" s="247"/>
      <c r="B15" s="177" t="s">
        <v>170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68">
        <f t="shared" si="0"/>
        <v>0</v>
      </c>
    </row>
    <row r="16" spans="1:15" ht="16.5" customHeight="1" thickTop="1" x14ac:dyDescent="0.15">
      <c r="A16" s="247"/>
      <c r="B16" s="169" t="s">
        <v>159</v>
      </c>
      <c r="C16" s="110"/>
      <c r="D16" s="110"/>
      <c r="E16" s="110"/>
      <c r="F16" s="110"/>
      <c r="G16" s="110"/>
      <c r="H16" s="110" t="str">
        <f t="shared" ref="H16:N16" si="1">IF(H4="","",H4-SUM(H5:H12))</f>
        <v/>
      </c>
      <c r="I16" s="110" t="str">
        <f t="shared" si="1"/>
        <v/>
      </c>
      <c r="J16" s="110" t="str">
        <f t="shared" si="1"/>
        <v/>
      </c>
      <c r="K16" s="110" t="str">
        <f t="shared" si="1"/>
        <v/>
      </c>
      <c r="L16" s="110" t="str">
        <f t="shared" si="1"/>
        <v/>
      </c>
      <c r="M16" s="110" t="str">
        <f t="shared" si="1"/>
        <v/>
      </c>
      <c r="N16" s="110" t="str">
        <f t="shared" si="1"/>
        <v/>
      </c>
      <c r="O16" s="110">
        <f>IF(O4="","",O4-SUM(O5:O12))</f>
        <v>0</v>
      </c>
    </row>
    <row r="17" spans="1:15" ht="16.5" customHeight="1" thickBot="1" x14ac:dyDescent="0.2">
      <c r="A17" s="248"/>
      <c r="B17" s="170" t="s">
        <v>160</v>
      </c>
      <c r="C17" s="112"/>
      <c r="D17" s="112"/>
      <c r="E17" s="112"/>
      <c r="F17" s="112"/>
      <c r="G17" s="112"/>
      <c r="H17" s="112" t="str">
        <f t="shared" ref="H17:N17" si="2">IF(H4="","",IF(H4=0,"―     ",H16/H4))</f>
        <v/>
      </c>
      <c r="I17" s="112" t="str">
        <f t="shared" si="2"/>
        <v/>
      </c>
      <c r="J17" s="112" t="str">
        <f t="shared" si="2"/>
        <v/>
      </c>
      <c r="K17" s="112" t="str">
        <f t="shared" si="2"/>
        <v/>
      </c>
      <c r="L17" s="112" t="str">
        <f t="shared" si="2"/>
        <v/>
      </c>
      <c r="M17" s="112" t="str">
        <f t="shared" si="2"/>
        <v/>
      </c>
      <c r="N17" s="112" t="str">
        <f t="shared" si="2"/>
        <v/>
      </c>
      <c r="O17" s="112" t="str">
        <f>IF(O4="","",IF(O4=0,"―     ",O16/O4))</f>
        <v xml:space="preserve">―     </v>
      </c>
    </row>
    <row r="18" spans="1:15" ht="16.5" customHeight="1" x14ac:dyDescent="0.15">
      <c r="A18" s="246"/>
      <c r="B18" s="164" t="s">
        <v>21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3">
        <f>SUM(C18:N18)</f>
        <v>0</v>
      </c>
    </row>
    <row r="19" spans="1:15" ht="16.5" customHeight="1" x14ac:dyDescent="0.15">
      <c r="A19" s="247"/>
      <c r="B19" s="166" t="s">
        <v>155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>
        <f t="shared" ref="O19:O27" si="3">SUM(C19:N19)</f>
        <v>0</v>
      </c>
    </row>
    <row r="20" spans="1:15" ht="16.5" customHeight="1" x14ac:dyDescent="0.15">
      <c r="A20" s="247"/>
      <c r="B20" s="166" t="s">
        <v>156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>
        <f t="shared" si="3"/>
        <v>0</v>
      </c>
    </row>
    <row r="21" spans="1:15" ht="16.5" customHeight="1" x14ac:dyDescent="0.15">
      <c r="A21" s="247"/>
      <c r="B21" s="166" t="s">
        <v>26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>
        <f t="shared" si="3"/>
        <v>0</v>
      </c>
    </row>
    <row r="22" spans="1:15" ht="16.5" customHeight="1" x14ac:dyDescent="0.15">
      <c r="A22" s="247"/>
      <c r="B22" s="166" t="s">
        <v>66</v>
      </c>
      <c r="C22" s="106"/>
      <c r="D22" s="105"/>
      <c r="E22" s="105"/>
      <c r="F22" s="105"/>
      <c r="G22" s="105"/>
      <c r="H22" s="105"/>
      <c r="I22" s="106"/>
      <c r="J22" s="106"/>
      <c r="K22" s="106"/>
      <c r="L22" s="106"/>
      <c r="M22" s="106"/>
      <c r="N22" s="106"/>
      <c r="O22" s="105">
        <f t="shared" si="3"/>
        <v>0</v>
      </c>
    </row>
    <row r="23" spans="1:15" ht="16.5" customHeight="1" x14ac:dyDescent="0.15">
      <c r="A23" s="247"/>
      <c r="B23" s="166" t="s">
        <v>22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>
        <f t="shared" si="3"/>
        <v>0</v>
      </c>
    </row>
    <row r="24" spans="1:15" ht="16.5" customHeight="1" x14ac:dyDescent="0.15">
      <c r="A24" s="247"/>
      <c r="B24" s="166" t="s">
        <v>67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>
        <f t="shared" si="3"/>
        <v>0</v>
      </c>
    </row>
    <row r="25" spans="1:15" ht="16.5" customHeight="1" x14ac:dyDescent="0.15">
      <c r="A25" s="247"/>
      <c r="B25" s="166" t="s">
        <v>23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>
        <f t="shared" si="3"/>
        <v>0</v>
      </c>
    </row>
    <row r="26" spans="1:15" ht="16.5" customHeight="1" x14ac:dyDescent="0.15">
      <c r="A26" s="247"/>
      <c r="B26" s="166" t="s">
        <v>157</v>
      </c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>
        <f t="shared" si="3"/>
        <v>0</v>
      </c>
    </row>
    <row r="27" spans="1:15" ht="16.5" customHeight="1" x14ac:dyDescent="0.15">
      <c r="A27" s="247"/>
      <c r="B27" s="166" t="s">
        <v>158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>
        <f t="shared" si="3"/>
        <v>0</v>
      </c>
    </row>
    <row r="28" spans="1:15" ht="16.5" customHeight="1" x14ac:dyDescent="0.15">
      <c r="A28" s="247"/>
      <c r="B28" s="171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</row>
    <row r="29" spans="1:15" ht="16.5" customHeight="1" thickBot="1" x14ac:dyDescent="0.2">
      <c r="A29" s="247"/>
      <c r="B29" s="177" t="s">
        <v>170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68">
        <f>SUM(C29:N29)</f>
        <v>0</v>
      </c>
    </row>
    <row r="30" spans="1:15" ht="16.5" customHeight="1" thickTop="1" x14ac:dyDescent="0.15">
      <c r="A30" s="247"/>
      <c r="B30" s="169" t="s">
        <v>159</v>
      </c>
      <c r="C30" s="110"/>
      <c r="D30" s="110"/>
      <c r="E30" s="110"/>
      <c r="F30" s="110"/>
      <c r="G30" s="110"/>
      <c r="H30" s="110" t="str">
        <f t="shared" ref="H30:N30" si="4">IF(H18="","",H18-SUM(H19:H26))</f>
        <v/>
      </c>
      <c r="I30" s="110" t="str">
        <f t="shared" si="4"/>
        <v/>
      </c>
      <c r="J30" s="110" t="str">
        <f t="shared" si="4"/>
        <v/>
      </c>
      <c r="K30" s="110" t="str">
        <f t="shared" si="4"/>
        <v/>
      </c>
      <c r="L30" s="110" t="str">
        <f t="shared" si="4"/>
        <v/>
      </c>
      <c r="M30" s="110" t="str">
        <f t="shared" si="4"/>
        <v/>
      </c>
      <c r="N30" s="110" t="str">
        <f t="shared" si="4"/>
        <v/>
      </c>
      <c r="O30" s="110">
        <f>IF(O18="","",O18-SUM(O19:O26))</f>
        <v>0</v>
      </c>
    </row>
    <row r="31" spans="1:15" ht="16.5" customHeight="1" thickBot="1" x14ac:dyDescent="0.2">
      <c r="A31" s="248"/>
      <c r="B31" s="170" t="s">
        <v>160</v>
      </c>
      <c r="C31" s="112"/>
      <c r="D31" s="112"/>
      <c r="E31" s="112"/>
      <c r="F31" s="112"/>
      <c r="G31" s="112"/>
      <c r="H31" s="112" t="str">
        <f t="shared" ref="H31:N31" si="5">IF(H18="","",IF(H18=0,"―     ",H30/H18))</f>
        <v/>
      </c>
      <c r="I31" s="112" t="str">
        <f t="shared" si="5"/>
        <v/>
      </c>
      <c r="J31" s="112" t="str">
        <f t="shared" si="5"/>
        <v/>
      </c>
      <c r="K31" s="112" t="str">
        <f t="shared" si="5"/>
        <v/>
      </c>
      <c r="L31" s="112" t="str">
        <f t="shared" si="5"/>
        <v/>
      </c>
      <c r="M31" s="112" t="str">
        <f t="shared" si="5"/>
        <v/>
      </c>
      <c r="N31" s="112" t="str">
        <f t="shared" si="5"/>
        <v/>
      </c>
      <c r="O31" s="112" t="str">
        <f>IF(O18="","",IF(O18=0,"―     ",O30/O18))</f>
        <v xml:space="preserve">―     </v>
      </c>
    </row>
    <row r="32" spans="1:15" ht="16.5" customHeight="1" x14ac:dyDescent="0.15">
      <c r="A32" s="249"/>
      <c r="B32" s="164" t="s">
        <v>21</v>
      </c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3">
        <f>SUM(C32:N32)</f>
        <v>0</v>
      </c>
    </row>
    <row r="33" spans="1:15" ht="16.5" customHeight="1" x14ac:dyDescent="0.15">
      <c r="A33" s="247"/>
      <c r="B33" s="166" t="s">
        <v>155</v>
      </c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>
        <f t="shared" ref="O33:O43" si="6">SUM(C33:N33)</f>
        <v>0</v>
      </c>
    </row>
    <row r="34" spans="1:15" ht="16.5" customHeight="1" x14ac:dyDescent="0.15">
      <c r="A34" s="247"/>
      <c r="B34" s="166" t="s">
        <v>156</v>
      </c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>
        <f t="shared" si="6"/>
        <v>0</v>
      </c>
    </row>
    <row r="35" spans="1:15" ht="16.5" customHeight="1" x14ac:dyDescent="0.15">
      <c r="A35" s="247"/>
      <c r="B35" s="166" t="s">
        <v>26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>
        <f t="shared" si="6"/>
        <v>0</v>
      </c>
    </row>
    <row r="36" spans="1:15" ht="16.5" customHeight="1" x14ac:dyDescent="0.15">
      <c r="A36" s="247"/>
      <c r="B36" s="166" t="s">
        <v>66</v>
      </c>
      <c r="C36" s="106"/>
      <c r="D36" s="105"/>
      <c r="E36" s="105"/>
      <c r="F36" s="105"/>
      <c r="G36" s="105"/>
      <c r="H36" s="105"/>
      <c r="I36" s="106"/>
      <c r="J36" s="106"/>
      <c r="K36" s="106"/>
      <c r="L36" s="106"/>
      <c r="M36" s="106"/>
      <c r="N36" s="106"/>
      <c r="O36" s="105">
        <f t="shared" si="6"/>
        <v>0</v>
      </c>
    </row>
    <row r="37" spans="1:15" ht="16.5" customHeight="1" x14ac:dyDescent="0.15">
      <c r="A37" s="247"/>
      <c r="B37" s="166" t="s">
        <v>22</v>
      </c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>
        <f t="shared" si="6"/>
        <v>0</v>
      </c>
    </row>
    <row r="38" spans="1:15" ht="16.5" customHeight="1" x14ac:dyDescent="0.15">
      <c r="A38" s="247"/>
      <c r="B38" s="166" t="s">
        <v>67</v>
      </c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>
        <f t="shared" si="6"/>
        <v>0</v>
      </c>
    </row>
    <row r="39" spans="1:15" ht="16.5" customHeight="1" x14ac:dyDescent="0.15">
      <c r="A39" s="247"/>
      <c r="B39" s="166" t="s">
        <v>23</v>
      </c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>
        <f t="shared" si="6"/>
        <v>0</v>
      </c>
    </row>
    <row r="40" spans="1:15" ht="16.5" customHeight="1" x14ac:dyDescent="0.15">
      <c r="A40" s="247"/>
      <c r="B40" s="166" t="s">
        <v>157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>
        <f t="shared" si="6"/>
        <v>0</v>
      </c>
    </row>
    <row r="41" spans="1:15" ht="16.5" customHeight="1" x14ac:dyDescent="0.15">
      <c r="A41" s="247"/>
      <c r="B41" s="166" t="s">
        <v>158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>
        <f t="shared" si="6"/>
        <v>0</v>
      </c>
    </row>
    <row r="42" spans="1:15" ht="16.5" customHeight="1" x14ac:dyDescent="0.15">
      <c r="A42" s="247"/>
      <c r="B42" s="171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</row>
    <row r="43" spans="1:15" ht="16.5" customHeight="1" thickBot="1" x14ac:dyDescent="0.2">
      <c r="A43" s="247"/>
      <c r="B43" s="171" t="s">
        <v>170</v>
      </c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68">
        <f t="shared" si="6"/>
        <v>0</v>
      </c>
    </row>
    <row r="44" spans="1:15" ht="16.5" customHeight="1" thickTop="1" x14ac:dyDescent="0.15">
      <c r="A44" s="247"/>
      <c r="B44" s="169" t="s">
        <v>159</v>
      </c>
      <c r="C44" s="110"/>
      <c r="D44" s="110"/>
      <c r="E44" s="110"/>
      <c r="F44" s="110"/>
      <c r="G44" s="110"/>
      <c r="H44" s="110" t="str">
        <f t="shared" ref="H44:N44" si="7">IF(H32="","",H32-SUM(H33:H40))</f>
        <v/>
      </c>
      <c r="I44" s="110" t="str">
        <f t="shared" si="7"/>
        <v/>
      </c>
      <c r="J44" s="110" t="str">
        <f t="shared" si="7"/>
        <v/>
      </c>
      <c r="K44" s="110" t="str">
        <f t="shared" si="7"/>
        <v/>
      </c>
      <c r="L44" s="110" t="str">
        <f t="shared" si="7"/>
        <v/>
      </c>
      <c r="M44" s="110" t="str">
        <f t="shared" si="7"/>
        <v/>
      </c>
      <c r="N44" s="110" t="str">
        <f t="shared" si="7"/>
        <v/>
      </c>
      <c r="O44" s="110">
        <f>IF(O32="","",O32-SUM(O33:O40))</f>
        <v>0</v>
      </c>
    </row>
    <row r="45" spans="1:15" ht="16.5" customHeight="1" thickBot="1" x14ac:dyDescent="0.2">
      <c r="A45" s="248"/>
      <c r="B45" s="170" t="s">
        <v>160</v>
      </c>
      <c r="C45" s="112"/>
      <c r="D45" s="112"/>
      <c r="E45" s="112"/>
      <c r="F45" s="112"/>
      <c r="G45" s="112"/>
      <c r="H45" s="112" t="str">
        <f t="shared" ref="H45:O45" si="8">IF(H32="","",IF(H32=0,"―     ",H44/H32))</f>
        <v/>
      </c>
      <c r="I45" s="112" t="str">
        <f t="shared" si="8"/>
        <v/>
      </c>
      <c r="J45" s="112" t="str">
        <f t="shared" si="8"/>
        <v/>
      </c>
      <c r="K45" s="112" t="str">
        <f t="shared" si="8"/>
        <v/>
      </c>
      <c r="L45" s="112" t="str">
        <f t="shared" si="8"/>
        <v/>
      </c>
      <c r="M45" s="112" t="str">
        <f t="shared" si="8"/>
        <v/>
      </c>
      <c r="N45" s="112" t="str">
        <f t="shared" si="8"/>
        <v/>
      </c>
      <c r="O45" s="112" t="str">
        <f t="shared" si="8"/>
        <v xml:space="preserve">―     </v>
      </c>
    </row>
    <row r="46" spans="1:15" ht="16.5" customHeight="1" x14ac:dyDescent="0.15">
      <c r="A46" s="243"/>
      <c r="B46" s="164" t="s">
        <v>21</v>
      </c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3">
        <f>SUM(C46:N46)</f>
        <v>0</v>
      </c>
    </row>
    <row r="47" spans="1:15" ht="16.5" customHeight="1" x14ac:dyDescent="0.15">
      <c r="A47" s="243"/>
      <c r="B47" s="166" t="s">
        <v>155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>
        <f t="shared" ref="O47:O57" si="9">SUM(C47:N47)</f>
        <v>0</v>
      </c>
    </row>
    <row r="48" spans="1:15" ht="16.5" customHeight="1" x14ac:dyDescent="0.15">
      <c r="A48" s="243"/>
      <c r="B48" s="167" t="s">
        <v>156</v>
      </c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>
        <f t="shared" si="9"/>
        <v>0</v>
      </c>
    </row>
    <row r="49" spans="1:15" ht="16.5" customHeight="1" x14ac:dyDescent="0.15">
      <c r="A49" s="243"/>
      <c r="B49" s="166" t="s">
        <v>26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>
        <f t="shared" si="9"/>
        <v>0</v>
      </c>
    </row>
    <row r="50" spans="1:15" ht="16.5" customHeight="1" x14ac:dyDescent="0.15">
      <c r="A50" s="243"/>
      <c r="B50" s="166" t="s">
        <v>66</v>
      </c>
      <c r="C50" s="106"/>
      <c r="D50" s="105"/>
      <c r="E50" s="105"/>
      <c r="F50" s="105"/>
      <c r="G50" s="105"/>
      <c r="H50" s="105"/>
      <c r="I50" s="106"/>
      <c r="J50" s="106"/>
      <c r="K50" s="106"/>
      <c r="L50" s="106"/>
      <c r="M50" s="106"/>
      <c r="N50" s="106"/>
      <c r="O50" s="105">
        <f t="shared" si="9"/>
        <v>0</v>
      </c>
    </row>
    <row r="51" spans="1:15" ht="16.5" customHeight="1" x14ac:dyDescent="0.15">
      <c r="A51" s="243"/>
      <c r="B51" s="166" t="s">
        <v>22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>
        <f t="shared" si="9"/>
        <v>0</v>
      </c>
    </row>
    <row r="52" spans="1:15" ht="16.5" customHeight="1" x14ac:dyDescent="0.15">
      <c r="A52" s="243"/>
      <c r="B52" s="166" t="s">
        <v>67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>
        <f t="shared" si="9"/>
        <v>0</v>
      </c>
    </row>
    <row r="53" spans="1:15" ht="16.5" customHeight="1" x14ac:dyDescent="0.15">
      <c r="A53" s="243"/>
      <c r="B53" s="166" t="s">
        <v>23</v>
      </c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>
        <f t="shared" si="9"/>
        <v>0</v>
      </c>
    </row>
    <row r="54" spans="1:15" ht="16.5" customHeight="1" x14ac:dyDescent="0.15">
      <c r="A54" s="243"/>
      <c r="B54" s="166" t="s">
        <v>157</v>
      </c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>
        <f t="shared" si="9"/>
        <v>0</v>
      </c>
    </row>
    <row r="55" spans="1:15" ht="16.5" customHeight="1" x14ac:dyDescent="0.15">
      <c r="A55" s="243"/>
      <c r="B55" s="166" t="s">
        <v>158</v>
      </c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>
        <f t="shared" si="9"/>
        <v>0</v>
      </c>
    </row>
    <row r="56" spans="1:15" ht="16.5" customHeight="1" x14ac:dyDescent="0.15">
      <c r="A56" s="243"/>
      <c r="B56" s="166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</row>
    <row r="57" spans="1:15" ht="16.5" customHeight="1" thickBot="1" x14ac:dyDescent="0.2">
      <c r="A57" s="243"/>
      <c r="B57" s="166" t="s">
        <v>170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68">
        <f t="shared" si="9"/>
        <v>0</v>
      </c>
    </row>
    <row r="58" spans="1:15" ht="16.5" customHeight="1" thickTop="1" x14ac:dyDescent="0.15">
      <c r="A58" s="243"/>
      <c r="B58" s="169" t="s">
        <v>159</v>
      </c>
      <c r="C58" s="110"/>
      <c r="D58" s="110"/>
      <c r="E58" s="110"/>
      <c r="F58" s="110"/>
      <c r="G58" s="110"/>
      <c r="H58" s="110" t="str">
        <f t="shared" ref="H58:M58" si="10">IF(H46="","",H46-SUM(H47:H54))</f>
        <v/>
      </c>
      <c r="I58" s="110" t="str">
        <f t="shared" si="10"/>
        <v/>
      </c>
      <c r="J58" s="110" t="str">
        <f t="shared" si="10"/>
        <v/>
      </c>
      <c r="K58" s="110" t="str">
        <f t="shared" si="10"/>
        <v/>
      </c>
      <c r="L58" s="110" t="str">
        <f t="shared" si="10"/>
        <v/>
      </c>
      <c r="M58" s="110" t="str">
        <f t="shared" si="10"/>
        <v/>
      </c>
      <c r="N58" s="110" t="str">
        <f>IF(N46="","",N46-SUM(N47:N54))</f>
        <v/>
      </c>
      <c r="O58" s="110">
        <f>IF(O46="","",O46-SUM(O47:O54))</f>
        <v>0</v>
      </c>
    </row>
    <row r="59" spans="1:15" ht="16.5" customHeight="1" thickBot="1" x14ac:dyDescent="0.2">
      <c r="A59" s="244"/>
      <c r="B59" s="170" t="s">
        <v>160</v>
      </c>
      <c r="C59" s="112"/>
      <c r="D59" s="112"/>
      <c r="E59" s="112"/>
      <c r="F59" s="112"/>
      <c r="G59" s="112"/>
      <c r="H59" s="112" t="str">
        <f t="shared" ref="H59:O59" si="11">IF(H46="","",IF(H46=0,"―     ",H58/H46))</f>
        <v/>
      </c>
      <c r="I59" s="112" t="str">
        <f t="shared" si="11"/>
        <v/>
      </c>
      <c r="J59" s="112" t="str">
        <f t="shared" si="11"/>
        <v/>
      </c>
      <c r="K59" s="112" t="str">
        <f t="shared" si="11"/>
        <v/>
      </c>
      <c r="L59" s="112" t="str">
        <f t="shared" si="11"/>
        <v/>
      </c>
      <c r="M59" s="112" t="str">
        <f t="shared" si="11"/>
        <v/>
      </c>
      <c r="N59" s="112" t="str">
        <f t="shared" si="11"/>
        <v/>
      </c>
      <c r="O59" s="112" t="str">
        <f t="shared" si="11"/>
        <v xml:space="preserve">―     </v>
      </c>
    </row>
    <row r="60" spans="1:15" ht="16.5" customHeight="1" x14ac:dyDescent="0.15">
      <c r="A60" s="243"/>
      <c r="B60" s="164" t="s">
        <v>21</v>
      </c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3">
        <f>SUM(C60:N60)</f>
        <v>0</v>
      </c>
    </row>
    <row r="61" spans="1:15" ht="16.5" customHeight="1" x14ac:dyDescent="0.15">
      <c r="A61" s="243"/>
      <c r="B61" s="166" t="s">
        <v>155</v>
      </c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>
        <f t="shared" ref="O61:O71" si="12">SUM(C61:N61)</f>
        <v>0</v>
      </c>
    </row>
    <row r="62" spans="1:15" ht="16.5" customHeight="1" x14ac:dyDescent="0.15">
      <c r="A62" s="243"/>
      <c r="B62" s="167" t="s">
        <v>156</v>
      </c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>
        <f t="shared" si="12"/>
        <v>0</v>
      </c>
    </row>
    <row r="63" spans="1:15" ht="16.5" customHeight="1" x14ac:dyDescent="0.15">
      <c r="A63" s="243"/>
      <c r="B63" s="166" t="s">
        <v>26</v>
      </c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>
        <f t="shared" si="12"/>
        <v>0</v>
      </c>
    </row>
    <row r="64" spans="1:15" ht="16.5" customHeight="1" x14ac:dyDescent="0.15">
      <c r="A64" s="243"/>
      <c r="B64" s="166" t="s">
        <v>66</v>
      </c>
      <c r="C64" s="106"/>
      <c r="D64" s="105"/>
      <c r="E64" s="105"/>
      <c r="F64" s="105"/>
      <c r="G64" s="105"/>
      <c r="H64" s="105"/>
      <c r="I64" s="106"/>
      <c r="J64" s="106"/>
      <c r="K64" s="106"/>
      <c r="L64" s="106"/>
      <c r="M64" s="106"/>
      <c r="N64" s="106"/>
      <c r="O64" s="105">
        <f t="shared" si="12"/>
        <v>0</v>
      </c>
    </row>
    <row r="65" spans="1:15" ht="16.5" customHeight="1" x14ac:dyDescent="0.15">
      <c r="A65" s="243"/>
      <c r="B65" s="166" t="s">
        <v>22</v>
      </c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>
        <f t="shared" si="12"/>
        <v>0</v>
      </c>
    </row>
    <row r="66" spans="1:15" ht="16.5" customHeight="1" x14ac:dyDescent="0.15">
      <c r="A66" s="243"/>
      <c r="B66" s="166" t="s">
        <v>67</v>
      </c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>
        <f t="shared" si="12"/>
        <v>0</v>
      </c>
    </row>
    <row r="67" spans="1:15" ht="16.5" customHeight="1" x14ac:dyDescent="0.15">
      <c r="A67" s="243"/>
      <c r="B67" s="166" t="s">
        <v>23</v>
      </c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>
        <f t="shared" si="12"/>
        <v>0</v>
      </c>
    </row>
    <row r="68" spans="1:15" ht="16.5" customHeight="1" x14ac:dyDescent="0.15">
      <c r="A68" s="243"/>
      <c r="B68" s="166" t="s">
        <v>157</v>
      </c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>
        <f t="shared" si="12"/>
        <v>0</v>
      </c>
    </row>
    <row r="69" spans="1:15" ht="16.5" customHeight="1" x14ac:dyDescent="0.15">
      <c r="A69" s="243"/>
      <c r="B69" s="166" t="s">
        <v>158</v>
      </c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>
        <f t="shared" si="12"/>
        <v>0</v>
      </c>
    </row>
    <row r="70" spans="1:15" ht="16.5" customHeight="1" x14ac:dyDescent="0.15">
      <c r="A70" s="243"/>
      <c r="B70" s="166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</row>
    <row r="71" spans="1:15" ht="16.5" customHeight="1" thickBot="1" x14ac:dyDescent="0.2">
      <c r="A71" s="243"/>
      <c r="B71" s="166" t="s">
        <v>170</v>
      </c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68">
        <f t="shared" si="12"/>
        <v>0</v>
      </c>
    </row>
    <row r="72" spans="1:15" ht="16.5" customHeight="1" thickTop="1" x14ac:dyDescent="0.15">
      <c r="A72" s="243"/>
      <c r="B72" s="169" t="s">
        <v>159</v>
      </c>
      <c r="C72" s="110"/>
      <c r="D72" s="110"/>
      <c r="E72" s="110"/>
      <c r="F72" s="110"/>
      <c r="G72" s="110"/>
      <c r="H72" s="110" t="str">
        <f t="shared" ref="H72:M72" si="13">IF(H60="","",H60-SUM(H61:H68))</f>
        <v/>
      </c>
      <c r="I72" s="110" t="str">
        <f t="shared" si="13"/>
        <v/>
      </c>
      <c r="J72" s="110" t="str">
        <f t="shared" si="13"/>
        <v/>
      </c>
      <c r="K72" s="110" t="str">
        <f t="shared" si="13"/>
        <v/>
      </c>
      <c r="L72" s="110" t="str">
        <f t="shared" si="13"/>
        <v/>
      </c>
      <c r="M72" s="110" t="str">
        <f t="shared" si="13"/>
        <v/>
      </c>
      <c r="N72" s="110" t="str">
        <f>IF(N60="","",N60-SUM(N61:N68))</f>
        <v/>
      </c>
      <c r="O72" s="110">
        <f>IF(O60="","",O60-SUM(O61:O68))</f>
        <v>0</v>
      </c>
    </row>
    <row r="73" spans="1:15" ht="16.5" customHeight="1" thickBot="1" x14ac:dyDescent="0.2">
      <c r="A73" s="244"/>
      <c r="B73" s="170" t="s">
        <v>160</v>
      </c>
      <c r="C73" s="112"/>
      <c r="D73" s="112"/>
      <c r="E73" s="112"/>
      <c r="F73" s="112"/>
      <c r="G73" s="112"/>
      <c r="H73" s="112" t="str">
        <f t="shared" ref="H73:O73" si="14">IF(H60="","",IF(H60=0,"―     ",H72/H60))</f>
        <v/>
      </c>
      <c r="I73" s="112" t="str">
        <f t="shared" si="14"/>
        <v/>
      </c>
      <c r="J73" s="112" t="str">
        <f t="shared" si="14"/>
        <v/>
      </c>
      <c r="K73" s="112" t="str">
        <f t="shared" si="14"/>
        <v/>
      </c>
      <c r="L73" s="112" t="str">
        <f t="shared" si="14"/>
        <v/>
      </c>
      <c r="M73" s="112" t="str">
        <f t="shared" si="14"/>
        <v/>
      </c>
      <c r="N73" s="112" t="str">
        <f t="shared" si="14"/>
        <v/>
      </c>
      <c r="O73" s="112" t="str">
        <f t="shared" si="14"/>
        <v xml:space="preserve">―     </v>
      </c>
    </row>
    <row r="74" spans="1:15" ht="16.5" customHeight="1" x14ac:dyDescent="0.15">
      <c r="A74" s="243"/>
      <c r="B74" s="164" t="s">
        <v>21</v>
      </c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3">
        <f>SUM(C74:N74)</f>
        <v>0</v>
      </c>
    </row>
    <row r="75" spans="1:15" ht="16.5" customHeight="1" x14ac:dyDescent="0.15">
      <c r="A75" s="243"/>
      <c r="B75" s="166" t="s">
        <v>155</v>
      </c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>
        <f t="shared" ref="O75:O85" si="15">SUM(C75:N75)</f>
        <v>0</v>
      </c>
    </row>
    <row r="76" spans="1:15" ht="16.5" customHeight="1" x14ac:dyDescent="0.15">
      <c r="A76" s="243"/>
      <c r="B76" s="167" t="s">
        <v>156</v>
      </c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>
        <f t="shared" si="15"/>
        <v>0</v>
      </c>
    </row>
    <row r="77" spans="1:15" ht="16.5" customHeight="1" x14ac:dyDescent="0.15">
      <c r="A77" s="243"/>
      <c r="B77" s="166" t="s">
        <v>26</v>
      </c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>
        <f t="shared" si="15"/>
        <v>0</v>
      </c>
    </row>
    <row r="78" spans="1:15" ht="16.5" customHeight="1" x14ac:dyDescent="0.15">
      <c r="A78" s="243"/>
      <c r="B78" s="166" t="s">
        <v>66</v>
      </c>
      <c r="C78" s="106"/>
      <c r="D78" s="105"/>
      <c r="E78" s="105"/>
      <c r="F78" s="105"/>
      <c r="G78" s="105"/>
      <c r="H78" s="105"/>
      <c r="I78" s="106"/>
      <c r="J78" s="106"/>
      <c r="K78" s="106"/>
      <c r="L78" s="106"/>
      <c r="M78" s="106"/>
      <c r="N78" s="106"/>
      <c r="O78" s="105">
        <f t="shared" si="15"/>
        <v>0</v>
      </c>
    </row>
    <row r="79" spans="1:15" ht="16.5" customHeight="1" x14ac:dyDescent="0.15">
      <c r="A79" s="243"/>
      <c r="B79" s="166" t="s">
        <v>22</v>
      </c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>
        <f t="shared" si="15"/>
        <v>0</v>
      </c>
    </row>
    <row r="80" spans="1:15" ht="16.5" customHeight="1" x14ac:dyDescent="0.15">
      <c r="A80" s="243"/>
      <c r="B80" s="166" t="s">
        <v>67</v>
      </c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>
        <f t="shared" si="15"/>
        <v>0</v>
      </c>
    </row>
    <row r="81" spans="1:15" ht="16.5" customHeight="1" x14ac:dyDescent="0.15">
      <c r="A81" s="243"/>
      <c r="B81" s="166" t="s">
        <v>23</v>
      </c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>
        <f t="shared" si="15"/>
        <v>0</v>
      </c>
    </row>
    <row r="82" spans="1:15" ht="16.5" customHeight="1" x14ac:dyDescent="0.15">
      <c r="A82" s="243"/>
      <c r="B82" s="166" t="s">
        <v>157</v>
      </c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>
        <f t="shared" si="15"/>
        <v>0</v>
      </c>
    </row>
    <row r="83" spans="1:15" ht="16.5" customHeight="1" x14ac:dyDescent="0.15">
      <c r="A83" s="243"/>
      <c r="B83" s="166" t="s">
        <v>158</v>
      </c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>
        <f t="shared" si="15"/>
        <v>0</v>
      </c>
    </row>
    <row r="84" spans="1:15" ht="16.5" customHeight="1" x14ac:dyDescent="0.15">
      <c r="A84" s="243"/>
      <c r="B84" s="166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</row>
    <row r="85" spans="1:15" ht="16.5" customHeight="1" thickBot="1" x14ac:dyDescent="0.2">
      <c r="A85" s="243"/>
      <c r="B85" s="166" t="s">
        <v>170</v>
      </c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68">
        <f t="shared" si="15"/>
        <v>0</v>
      </c>
    </row>
    <row r="86" spans="1:15" ht="16.5" customHeight="1" thickTop="1" x14ac:dyDescent="0.15">
      <c r="A86" s="243"/>
      <c r="B86" s="169" t="s">
        <v>159</v>
      </c>
      <c r="C86" s="110"/>
      <c r="D86" s="110"/>
      <c r="E86" s="110"/>
      <c r="F86" s="110"/>
      <c r="G86" s="110"/>
      <c r="H86" s="110" t="str">
        <f t="shared" ref="H86:M86" si="16">IF(H74="","",H74-SUM(H75:H82))</f>
        <v/>
      </c>
      <c r="I86" s="110" t="str">
        <f t="shared" si="16"/>
        <v/>
      </c>
      <c r="J86" s="110" t="str">
        <f t="shared" si="16"/>
        <v/>
      </c>
      <c r="K86" s="110" t="str">
        <f t="shared" si="16"/>
        <v/>
      </c>
      <c r="L86" s="110" t="str">
        <f t="shared" si="16"/>
        <v/>
      </c>
      <c r="M86" s="110" t="str">
        <f t="shared" si="16"/>
        <v/>
      </c>
      <c r="N86" s="110" t="str">
        <f>IF(N74="","",N74-SUM(N75:N82))</f>
        <v/>
      </c>
      <c r="O86" s="110">
        <f>IF(O74="","",O74-SUM(O75:O82))</f>
        <v>0</v>
      </c>
    </row>
    <row r="87" spans="1:15" ht="16.5" customHeight="1" thickBot="1" x14ac:dyDescent="0.2">
      <c r="A87" s="244"/>
      <c r="B87" s="170" t="s">
        <v>160</v>
      </c>
      <c r="C87" s="112"/>
      <c r="D87" s="112"/>
      <c r="E87" s="112"/>
      <c r="F87" s="112"/>
      <c r="G87" s="112"/>
      <c r="H87" s="112" t="str">
        <f t="shared" ref="H87:O87" si="17">IF(H74="","",IF(H74=0,"―     ",H86/H74))</f>
        <v/>
      </c>
      <c r="I87" s="112" t="str">
        <f t="shared" si="17"/>
        <v/>
      </c>
      <c r="J87" s="112" t="str">
        <f t="shared" si="17"/>
        <v/>
      </c>
      <c r="K87" s="112" t="str">
        <f t="shared" si="17"/>
        <v/>
      </c>
      <c r="L87" s="112" t="str">
        <f t="shared" si="17"/>
        <v/>
      </c>
      <c r="M87" s="112" t="str">
        <f t="shared" si="17"/>
        <v/>
      </c>
      <c r="N87" s="112" t="str">
        <f t="shared" si="17"/>
        <v/>
      </c>
      <c r="O87" s="112" t="str">
        <f t="shared" si="17"/>
        <v xml:space="preserve">―     </v>
      </c>
    </row>
    <row r="88" spans="1:15" ht="16.5" customHeight="1" x14ac:dyDescent="0.15">
      <c r="A88" s="243"/>
      <c r="B88" s="164" t="s">
        <v>21</v>
      </c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3">
        <f>SUM(C88:N88)</f>
        <v>0</v>
      </c>
    </row>
    <row r="89" spans="1:15" ht="16.5" customHeight="1" x14ac:dyDescent="0.15">
      <c r="A89" s="243"/>
      <c r="B89" s="166" t="s">
        <v>155</v>
      </c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>
        <f t="shared" ref="O89:O99" si="18">SUM(C89:N89)</f>
        <v>0</v>
      </c>
    </row>
    <row r="90" spans="1:15" ht="16.5" customHeight="1" x14ac:dyDescent="0.15">
      <c r="A90" s="243"/>
      <c r="B90" s="167" t="s">
        <v>156</v>
      </c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>
        <f t="shared" si="18"/>
        <v>0</v>
      </c>
    </row>
    <row r="91" spans="1:15" ht="16.5" customHeight="1" x14ac:dyDescent="0.15">
      <c r="A91" s="243"/>
      <c r="B91" s="166" t="s">
        <v>26</v>
      </c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>
        <f t="shared" si="18"/>
        <v>0</v>
      </c>
    </row>
    <row r="92" spans="1:15" ht="16.5" customHeight="1" x14ac:dyDescent="0.15">
      <c r="A92" s="243"/>
      <c r="B92" s="166" t="s">
        <v>66</v>
      </c>
      <c r="C92" s="106"/>
      <c r="D92" s="105"/>
      <c r="E92" s="105"/>
      <c r="F92" s="105"/>
      <c r="G92" s="105"/>
      <c r="H92" s="105"/>
      <c r="I92" s="106"/>
      <c r="J92" s="106"/>
      <c r="K92" s="106"/>
      <c r="L92" s="106"/>
      <c r="M92" s="106"/>
      <c r="N92" s="106"/>
      <c r="O92" s="105">
        <f t="shared" si="18"/>
        <v>0</v>
      </c>
    </row>
    <row r="93" spans="1:15" ht="16.5" customHeight="1" x14ac:dyDescent="0.15">
      <c r="A93" s="243"/>
      <c r="B93" s="166" t="s">
        <v>22</v>
      </c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>
        <f t="shared" si="18"/>
        <v>0</v>
      </c>
    </row>
    <row r="94" spans="1:15" ht="16.5" customHeight="1" x14ac:dyDescent="0.15">
      <c r="A94" s="243"/>
      <c r="B94" s="166" t="s">
        <v>67</v>
      </c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>
        <f t="shared" si="18"/>
        <v>0</v>
      </c>
    </row>
    <row r="95" spans="1:15" ht="16.5" customHeight="1" x14ac:dyDescent="0.15">
      <c r="A95" s="243"/>
      <c r="B95" s="166" t="s">
        <v>23</v>
      </c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>
        <f t="shared" si="18"/>
        <v>0</v>
      </c>
    </row>
    <row r="96" spans="1:15" ht="16.5" customHeight="1" x14ac:dyDescent="0.15">
      <c r="A96" s="243"/>
      <c r="B96" s="166" t="s">
        <v>157</v>
      </c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>
        <f t="shared" si="18"/>
        <v>0</v>
      </c>
    </row>
    <row r="97" spans="1:15" ht="16.5" customHeight="1" x14ac:dyDescent="0.15">
      <c r="A97" s="243"/>
      <c r="B97" s="166" t="s">
        <v>158</v>
      </c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>
        <f t="shared" si="18"/>
        <v>0</v>
      </c>
    </row>
    <row r="98" spans="1:15" ht="16.5" customHeight="1" x14ac:dyDescent="0.15">
      <c r="A98" s="243"/>
      <c r="B98" s="166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</row>
    <row r="99" spans="1:15" ht="16.5" customHeight="1" thickBot="1" x14ac:dyDescent="0.2">
      <c r="A99" s="243"/>
      <c r="B99" s="166" t="s">
        <v>170</v>
      </c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68">
        <f t="shared" si="18"/>
        <v>0</v>
      </c>
    </row>
    <row r="100" spans="1:15" ht="16.5" customHeight="1" thickTop="1" x14ac:dyDescent="0.15">
      <c r="A100" s="243"/>
      <c r="B100" s="169" t="s">
        <v>159</v>
      </c>
      <c r="C100" s="110"/>
      <c r="D100" s="110"/>
      <c r="E100" s="110"/>
      <c r="F100" s="110"/>
      <c r="G100" s="110"/>
      <c r="H100" s="110" t="str">
        <f t="shared" ref="H100:M100" si="19">IF(H88="","",H88-SUM(H89:H96))</f>
        <v/>
      </c>
      <c r="I100" s="110" t="str">
        <f t="shared" si="19"/>
        <v/>
      </c>
      <c r="J100" s="110" t="str">
        <f t="shared" si="19"/>
        <v/>
      </c>
      <c r="K100" s="110" t="str">
        <f t="shared" si="19"/>
        <v/>
      </c>
      <c r="L100" s="110" t="str">
        <f t="shared" si="19"/>
        <v/>
      </c>
      <c r="M100" s="110" t="str">
        <f t="shared" si="19"/>
        <v/>
      </c>
      <c r="N100" s="110" t="str">
        <f>IF(N88="","",N88-SUM(N89:N96))</f>
        <v/>
      </c>
      <c r="O100" s="110">
        <f>IF(O88="","",O88-SUM(O89:O96))</f>
        <v>0</v>
      </c>
    </row>
    <row r="101" spans="1:15" ht="16.5" customHeight="1" thickBot="1" x14ac:dyDescent="0.2">
      <c r="A101" s="244"/>
      <c r="B101" s="170" t="s">
        <v>160</v>
      </c>
      <c r="C101" s="112"/>
      <c r="D101" s="112"/>
      <c r="E101" s="112"/>
      <c r="F101" s="112"/>
      <c r="G101" s="112"/>
      <c r="H101" s="112" t="str">
        <f t="shared" ref="H101:O101" si="20">IF(H88="","",IF(H88=0,"―     ",H100/H88))</f>
        <v/>
      </c>
      <c r="I101" s="112" t="str">
        <f t="shared" si="20"/>
        <v/>
      </c>
      <c r="J101" s="112" t="str">
        <f t="shared" si="20"/>
        <v/>
      </c>
      <c r="K101" s="112" t="str">
        <f t="shared" si="20"/>
        <v/>
      </c>
      <c r="L101" s="112" t="str">
        <f t="shared" si="20"/>
        <v/>
      </c>
      <c r="M101" s="112" t="str">
        <f t="shared" si="20"/>
        <v/>
      </c>
      <c r="N101" s="112" t="str">
        <f t="shared" si="20"/>
        <v/>
      </c>
      <c r="O101" s="112" t="str">
        <f t="shared" si="20"/>
        <v xml:space="preserve">―     </v>
      </c>
    </row>
    <row r="102" spans="1:15" ht="16.5" customHeight="1" x14ac:dyDescent="0.15">
      <c r="A102" s="243"/>
      <c r="B102" s="164" t="s">
        <v>21</v>
      </c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3">
        <f>SUM(C102:N102)</f>
        <v>0</v>
      </c>
    </row>
    <row r="103" spans="1:15" ht="16.5" customHeight="1" x14ac:dyDescent="0.15">
      <c r="A103" s="243"/>
      <c r="B103" s="166" t="s">
        <v>155</v>
      </c>
      <c r="C103" s="105"/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>
        <f t="shared" ref="O103:O113" si="21">SUM(C103:N103)</f>
        <v>0</v>
      </c>
    </row>
    <row r="104" spans="1:15" ht="16.5" customHeight="1" x14ac:dyDescent="0.15">
      <c r="A104" s="243"/>
      <c r="B104" s="167" t="s">
        <v>156</v>
      </c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>
        <f t="shared" si="21"/>
        <v>0</v>
      </c>
    </row>
    <row r="105" spans="1:15" ht="16.5" customHeight="1" x14ac:dyDescent="0.15">
      <c r="A105" s="243"/>
      <c r="B105" s="166" t="s">
        <v>26</v>
      </c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>
        <f t="shared" si="21"/>
        <v>0</v>
      </c>
    </row>
    <row r="106" spans="1:15" ht="16.5" customHeight="1" x14ac:dyDescent="0.15">
      <c r="A106" s="243"/>
      <c r="B106" s="166" t="s">
        <v>66</v>
      </c>
      <c r="C106" s="106"/>
      <c r="D106" s="105"/>
      <c r="E106" s="105"/>
      <c r="F106" s="105"/>
      <c r="G106" s="105"/>
      <c r="H106" s="105"/>
      <c r="I106" s="106"/>
      <c r="J106" s="106"/>
      <c r="K106" s="106"/>
      <c r="L106" s="106"/>
      <c r="M106" s="106"/>
      <c r="N106" s="106"/>
      <c r="O106" s="105">
        <f t="shared" si="21"/>
        <v>0</v>
      </c>
    </row>
    <row r="107" spans="1:15" ht="16.5" customHeight="1" x14ac:dyDescent="0.15">
      <c r="A107" s="243"/>
      <c r="B107" s="166" t="s">
        <v>22</v>
      </c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>
        <f t="shared" si="21"/>
        <v>0</v>
      </c>
    </row>
    <row r="108" spans="1:15" ht="16.5" customHeight="1" x14ac:dyDescent="0.15">
      <c r="A108" s="243"/>
      <c r="B108" s="166" t="s">
        <v>67</v>
      </c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>
        <f t="shared" si="21"/>
        <v>0</v>
      </c>
    </row>
    <row r="109" spans="1:15" ht="16.5" customHeight="1" x14ac:dyDescent="0.15">
      <c r="A109" s="243"/>
      <c r="B109" s="166" t="s">
        <v>23</v>
      </c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>
        <f t="shared" si="21"/>
        <v>0</v>
      </c>
    </row>
    <row r="110" spans="1:15" ht="16.5" customHeight="1" x14ac:dyDescent="0.15">
      <c r="A110" s="243"/>
      <c r="B110" s="166" t="s">
        <v>157</v>
      </c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>
        <f t="shared" si="21"/>
        <v>0</v>
      </c>
    </row>
    <row r="111" spans="1:15" ht="16.5" customHeight="1" x14ac:dyDescent="0.15">
      <c r="A111" s="243"/>
      <c r="B111" s="166" t="s">
        <v>158</v>
      </c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>
        <f t="shared" si="21"/>
        <v>0</v>
      </c>
    </row>
    <row r="112" spans="1:15" ht="16.5" customHeight="1" x14ac:dyDescent="0.15">
      <c r="A112" s="243"/>
      <c r="B112" s="166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</row>
    <row r="113" spans="1:15" ht="16.5" customHeight="1" thickBot="1" x14ac:dyDescent="0.2">
      <c r="A113" s="243"/>
      <c r="B113" s="166" t="s">
        <v>170</v>
      </c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68">
        <f t="shared" si="21"/>
        <v>0</v>
      </c>
    </row>
    <row r="114" spans="1:15" ht="16.5" customHeight="1" thickTop="1" x14ac:dyDescent="0.15">
      <c r="A114" s="243"/>
      <c r="B114" s="169" t="s">
        <v>159</v>
      </c>
      <c r="C114" s="110"/>
      <c r="D114" s="110"/>
      <c r="E114" s="110"/>
      <c r="F114" s="110"/>
      <c r="G114" s="110"/>
      <c r="H114" s="110" t="str">
        <f t="shared" ref="H114:M114" si="22">IF(H102="","",H102-SUM(H103:H110))</f>
        <v/>
      </c>
      <c r="I114" s="110" t="str">
        <f t="shared" si="22"/>
        <v/>
      </c>
      <c r="J114" s="110" t="str">
        <f t="shared" si="22"/>
        <v/>
      </c>
      <c r="K114" s="110" t="str">
        <f t="shared" si="22"/>
        <v/>
      </c>
      <c r="L114" s="110" t="str">
        <f t="shared" si="22"/>
        <v/>
      </c>
      <c r="M114" s="110" t="str">
        <f t="shared" si="22"/>
        <v/>
      </c>
      <c r="N114" s="110" t="str">
        <f>IF(N102="","",N102-SUM(N103:N110))</f>
        <v/>
      </c>
      <c r="O114" s="110">
        <f>IF(O102="","",O102-SUM(O103:O110))</f>
        <v>0</v>
      </c>
    </row>
    <row r="115" spans="1:15" ht="16.5" customHeight="1" thickBot="1" x14ac:dyDescent="0.2">
      <c r="A115" s="244"/>
      <c r="B115" s="170" t="s">
        <v>160</v>
      </c>
      <c r="C115" s="112"/>
      <c r="D115" s="112"/>
      <c r="E115" s="112"/>
      <c r="F115" s="112"/>
      <c r="G115" s="112"/>
      <c r="H115" s="112" t="str">
        <f t="shared" ref="H115:O115" si="23">IF(H102="","",IF(H102=0,"―     ",H114/H102))</f>
        <v/>
      </c>
      <c r="I115" s="112" t="str">
        <f t="shared" si="23"/>
        <v/>
      </c>
      <c r="J115" s="112" t="str">
        <f t="shared" si="23"/>
        <v/>
      </c>
      <c r="K115" s="112" t="str">
        <f t="shared" si="23"/>
        <v/>
      </c>
      <c r="L115" s="112" t="str">
        <f t="shared" si="23"/>
        <v/>
      </c>
      <c r="M115" s="112" t="str">
        <f t="shared" si="23"/>
        <v/>
      </c>
      <c r="N115" s="112" t="str">
        <f t="shared" si="23"/>
        <v/>
      </c>
      <c r="O115" s="112" t="str">
        <f t="shared" si="23"/>
        <v xml:space="preserve">―     </v>
      </c>
    </row>
    <row r="116" spans="1:15" ht="16.5" customHeight="1" x14ac:dyDescent="0.15">
      <c r="A116" s="243"/>
      <c r="B116" s="164" t="s">
        <v>21</v>
      </c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3">
        <f>SUM(C116:N116)</f>
        <v>0</v>
      </c>
    </row>
    <row r="117" spans="1:15" ht="16.5" customHeight="1" x14ac:dyDescent="0.15">
      <c r="A117" s="243"/>
      <c r="B117" s="166" t="s">
        <v>155</v>
      </c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>
        <f t="shared" ref="O117:O127" si="24">SUM(C117:N117)</f>
        <v>0</v>
      </c>
    </row>
    <row r="118" spans="1:15" ht="16.5" customHeight="1" x14ac:dyDescent="0.15">
      <c r="A118" s="243"/>
      <c r="B118" s="167" t="s">
        <v>156</v>
      </c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>
        <f t="shared" si="24"/>
        <v>0</v>
      </c>
    </row>
    <row r="119" spans="1:15" ht="16.5" customHeight="1" x14ac:dyDescent="0.15">
      <c r="A119" s="243"/>
      <c r="B119" s="166" t="s">
        <v>26</v>
      </c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>
        <f t="shared" si="24"/>
        <v>0</v>
      </c>
    </row>
    <row r="120" spans="1:15" ht="16.5" customHeight="1" x14ac:dyDescent="0.15">
      <c r="A120" s="243"/>
      <c r="B120" s="166" t="s">
        <v>66</v>
      </c>
      <c r="C120" s="106"/>
      <c r="D120" s="105"/>
      <c r="E120" s="105"/>
      <c r="F120" s="105"/>
      <c r="G120" s="105"/>
      <c r="H120" s="105"/>
      <c r="I120" s="106"/>
      <c r="J120" s="106"/>
      <c r="K120" s="106"/>
      <c r="L120" s="106"/>
      <c r="M120" s="106"/>
      <c r="N120" s="106"/>
      <c r="O120" s="105">
        <f t="shared" si="24"/>
        <v>0</v>
      </c>
    </row>
    <row r="121" spans="1:15" ht="16.5" customHeight="1" x14ac:dyDescent="0.15">
      <c r="A121" s="243"/>
      <c r="B121" s="166" t="s">
        <v>22</v>
      </c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>
        <f t="shared" si="24"/>
        <v>0</v>
      </c>
    </row>
    <row r="122" spans="1:15" ht="16.5" customHeight="1" x14ac:dyDescent="0.15">
      <c r="A122" s="243"/>
      <c r="B122" s="166" t="s">
        <v>67</v>
      </c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>
        <f t="shared" si="24"/>
        <v>0</v>
      </c>
    </row>
    <row r="123" spans="1:15" ht="16.5" customHeight="1" x14ac:dyDescent="0.15">
      <c r="A123" s="243"/>
      <c r="B123" s="166" t="s">
        <v>23</v>
      </c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>
        <f t="shared" si="24"/>
        <v>0</v>
      </c>
    </row>
    <row r="124" spans="1:15" ht="16.5" customHeight="1" x14ac:dyDescent="0.15">
      <c r="A124" s="243"/>
      <c r="B124" s="166" t="s">
        <v>157</v>
      </c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>
        <f t="shared" si="24"/>
        <v>0</v>
      </c>
    </row>
    <row r="125" spans="1:15" ht="16.5" customHeight="1" x14ac:dyDescent="0.15">
      <c r="A125" s="243"/>
      <c r="B125" s="166" t="s">
        <v>158</v>
      </c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>
        <f t="shared" si="24"/>
        <v>0</v>
      </c>
    </row>
    <row r="126" spans="1:15" ht="16.5" customHeight="1" x14ac:dyDescent="0.15">
      <c r="A126" s="243"/>
      <c r="B126" s="166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</row>
    <row r="127" spans="1:15" ht="16.5" customHeight="1" thickBot="1" x14ac:dyDescent="0.2">
      <c r="A127" s="243"/>
      <c r="B127" s="166" t="s">
        <v>170</v>
      </c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68">
        <f t="shared" si="24"/>
        <v>0</v>
      </c>
    </row>
    <row r="128" spans="1:15" ht="16.5" customHeight="1" thickTop="1" x14ac:dyDescent="0.15">
      <c r="A128" s="243"/>
      <c r="B128" s="169" t="s">
        <v>159</v>
      </c>
      <c r="C128" s="110"/>
      <c r="D128" s="110"/>
      <c r="E128" s="110"/>
      <c r="F128" s="110"/>
      <c r="G128" s="110"/>
      <c r="H128" s="110" t="str">
        <f t="shared" ref="H128:M128" si="25">IF(H116="","",H116-SUM(H117:H124))</f>
        <v/>
      </c>
      <c r="I128" s="110" t="str">
        <f t="shared" si="25"/>
        <v/>
      </c>
      <c r="J128" s="110" t="str">
        <f t="shared" si="25"/>
        <v/>
      </c>
      <c r="K128" s="110" t="str">
        <f t="shared" si="25"/>
        <v/>
      </c>
      <c r="L128" s="110" t="str">
        <f t="shared" si="25"/>
        <v/>
      </c>
      <c r="M128" s="110" t="str">
        <f t="shared" si="25"/>
        <v/>
      </c>
      <c r="N128" s="110" t="str">
        <f>IF(N116="","",N116-SUM(N117:N124))</f>
        <v/>
      </c>
      <c r="O128" s="110">
        <f>IF(O116="","",O116-SUM(O117:O124))</f>
        <v>0</v>
      </c>
    </row>
    <row r="129" spans="1:15" ht="16.5" customHeight="1" thickBot="1" x14ac:dyDescent="0.2">
      <c r="A129" s="244"/>
      <c r="B129" s="170" t="s">
        <v>160</v>
      </c>
      <c r="C129" s="112"/>
      <c r="D129" s="112"/>
      <c r="E129" s="112"/>
      <c r="F129" s="112"/>
      <c r="G129" s="112"/>
      <c r="H129" s="112" t="str">
        <f t="shared" ref="H129:O129" si="26">IF(H116="","",IF(H116=0,"―     ",H128/H116))</f>
        <v/>
      </c>
      <c r="I129" s="112" t="str">
        <f t="shared" si="26"/>
        <v/>
      </c>
      <c r="J129" s="112" t="str">
        <f t="shared" si="26"/>
        <v/>
      </c>
      <c r="K129" s="112" t="str">
        <f t="shared" si="26"/>
        <v/>
      </c>
      <c r="L129" s="112" t="str">
        <f t="shared" si="26"/>
        <v/>
      </c>
      <c r="M129" s="112" t="str">
        <f t="shared" si="26"/>
        <v/>
      </c>
      <c r="N129" s="112" t="str">
        <f t="shared" si="26"/>
        <v/>
      </c>
      <c r="O129" s="112" t="str">
        <f t="shared" si="26"/>
        <v xml:space="preserve">―     </v>
      </c>
    </row>
    <row r="130" spans="1:15" ht="16.5" customHeight="1" x14ac:dyDescent="0.15">
      <c r="A130" s="243"/>
      <c r="B130" s="164" t="s">
        <v>21</v>
      </c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3">
        <f>SUM(C130:N130)</f>
        <v>0</v>
      </c>
    </row>
    <row r="131" spans="1:15" ht="16.5" customHeight="1" x14ac:dyDescent="0.15">
      <c r="A131" s="243"/>
      <c r="B131" s="166" t="s">
        <v>155</v>
      </c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>
        <f t="shared" ref="O131:O141" si="27">SUM(C131:N131)</f>
        <v>0</v>
      </c>
    </row>
    <row r="132" spans="1:15" ht="16.5" customHeight="1" x14ac:dyDescent="0.15">
      <c r="A132" s="243"/>
      <c r="B132" s="167" t="s">
        <v>156</v>
      </c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>
        <f t="shared" si="27"/>
        <v>0</v>
      </c>
    </row>
    <row r="133" spans="1:15" ht="16.5" customHeight="1" x14ac:dyDescent="0.15">
      <c r="A133" s="243"/>
      <c r="B133" s="166" t="s">
        <v>26</v>
      </c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>
        <f t="shared" si="27"/>
        <v>0</v>
      </c>
    </row>
    <row r="134" spans="1:15" ht="16.5" customHeight="1" x14ac:dyDescent="0.15">
      <c r="A134" s="243"/>
      <c r="B134" s="166" t="s">
        <v>66</v>
      </c>
      <c r="C134" s="106"/>
      <c r="D134" s="105"/>
      <c r="E134" s="105"/>
      <c r="F134" s="105"/>
      <c r="G134" s="105"/>
      <c r="H134" s="105"/>
      <c r="I134" s="106"/>
      <c r="J134" s="106"/>
      <c r="K134" s="106"/>
      <c r="L134" s="106"/>
      <c r="M134" s="106"/>
      <c r="N134" s="106"/>
      <c r="O134" s="105">
        <f t="shared" si="27"/>
        <v>0</v>
      </c>
    </row>
    <row r="135" spans="1:15" ht="16.5" customHeight="1" x14ac:dyDescent="0.15">
      <c r="A135" s="243"/>
      <c r="B135" s="166" t="s">
        <v>22</v>
      </c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>
        <f t="shared" si="27"/>
        <v>0</v>
      </c>
    </row>
    <row r="136" spans="1:15" ht="16.5" customHeight="1" x14ac:dyDescent="0.15">
      <c r="A136" s="243"/>
      <c r="B136" s="166" t="s">
        <v>67</v>
      </c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>
        <f t="shared" si="27"/>
        <v>0</v>
      </c>
    </row>
    <row r="137" spans="1:15" ht="16.5" customHeight="1" x14ac:dyDescent="0.15">
      <c r="A137" s="243"/>
      <c r="B137" s="166" t="s">
        <v>23</v>
      </c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>
        <f t="shared" si="27"/>
        <v>0</v>
      </c>
    </row>
    <row r="138" spans="1:15" ht="16.5" customHeight="1" x14ac:dyDescent="0.15">
      <c r="A138" s="243"/>
      <c r="B138" s="166" t="s">
        <v>157</v>
      </c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>
        <f t="shared" si="27"/>
        <v>0</v>
      </c>
    </row>
    <row r="139" spans="1:15" ht="16.5" customHeight="1" x14ac:dyDescent="0.15">
      <c r="A139" s="243"/>
      <c r="B139" s="166" t="s">
        <v>158</v>
      </c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>
        <f t="shared" si="27"/>
        <v>0</v>
      </c>
    </row>
    <row r="140" spans="1:15" ht="16.5" customHeight="1" x14ac:dyDescent="0.15">
      <c r="A140" s="243"/>
      <c r="B140" s="166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</row>
    <row r="141" spans="1:15" ht="16.5" customHeight="1" thickBot="1" x14ac:dyDescent="0.2">
      <c r="A141" s="243"/>
      <c r="B141" s="166" t="s">
        <v>170</v>
      </c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68">
        <f t="shared" si="27"/>
        <v>0</v>
      </c>
    </row>
    <row r="142" spans="1:15" ht="16.5" customHeight="1" thickTop="1" x14ac:dyDescent="0.15">
      <c r="A142" s="243"/>
      <c r="B142" s="169" t="s">
        <v>159</v>
      </c>
      <c r="C142" s="110"/>
      <c r="D142" s="110"/>
      <c r="E142" s="110"/>
      <c r="F142" s="110"/>
      <c r="G142" s="110"/>
      <c r="H142" s="110" t="str">
        <f t="shared" ref="H142:M142" si="28">IF(H130="","",H130-SUM(H131:H138))</f>
        <v/>
      </c>
      <c r="I142" s="110" t="str">
        <f t="shared" si="28"/>
        <v/>
      </c>
      <c r="J142" s="110" t="str">
        <f t="shared" si="28"/>
        <v/>
      </c>
      <c r="K142" s="110" t="str">
        <f t="shared" si="28"/>
        <v/>
      </c>
      <c r="L142" s="110" t="str">
        <f t="shared" si="28"/>
        <v/>
      </c>
      <c r="M142" s="110" t="str">
        <f t="shared" si="28"/>
        <v/>
      </c>
      <c r="N142" s="110" t="str">
        <f>IF(N130="","",N130-SUM(N131:N138))</f>
        <v/>
      </c>
      <c r="O142" s="110">
        <f>IF(O130="","",O130-SUM(O131:O138))</f>
        <v>0</v>
      </c>
    </row>
    <row r="143" spans="1:15" ht="16.5" customHeight="1" thickBot="1" x14ac:dyDescent="0.2">
      <c r="A143" s="244"/>
      <c r="B143" s="170" t="s">
        <v>160</v>
      </c>
      <c r="C143" s="112"/>
      <c r="D143" s="112"/>
      <c r="E143" s="112"/>
      <c r="F143" s="112"/>
      <c r="G143" s="112"/>
      <c r="H143" s="112" t="str">
        <f t="shared" ref="H143:O143" si="29">IF(H130="","",IF(H130=0,"―     ",H142/H130))</f>
        <v/>
      </c>
      <c r="I143" s="112" t="str">
        <f t="shared" si="29"/>
        <v/>
      </c>
      <c r="J143" s="112" t="str">
        <f t="shared" si="29"/>
        <v/>
      </c>
      <c r="K143" s="112" t="str">
        <f t="shared" si="29"/>
        <v/>
      </c>
      <c r="L143" s="112" t="str">
        <f t="shared" si="29"/>
        <v/>
      </c>
      <c r="M143" s="112" t="str">
        <f t="shared" si="29"/>
        <v/>
      </c>
      <c r="N143" s="112" t="str">
        <f t="shared" si="29"/>
        <v/>
      </c>
      <c r="O143" s="112" t="str">
        <f t="shared" si="29"/>
        <v xml:space="preserve">―     </v>
      </c>
    </row>
    <row r="144" spans="1:15" ht="16.5" customHeight="1" x14ac:dyDescent="0.15">
      <c r="A144" s="243"/>
      <c r="B144" s="164" t="s">
        <v>21</v>
      </c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3">
        <f>SUM(C144:N144)</f>
        <v>0</v>
      </c>
    </row>
    <row r="145" spans="1:15" ht="16.5" customHeight="1" x14ac:dyDescent="0.15">
      <c r="A145" s="243"/>
      <c r="B145" s="166" t="s">
        <v>155</v>
      </c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>
        <f t="shared" ref="O145:O155" si="30">SUM(C145:N145)</f>
        <v>0</v>
      </c>
    </row>
    <row r="146" spans="1:15" ht="16.5" customHeight="1" x14ac:dyDescent="0.15">
      <c r="A146" s="243"/>
      <c r="B146" s="167" t="s">
        <v>156</v>
      </c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>
        <f t="shared" si="30"/>
        <v>0</v>
      </c>
    </row>
    <row r="147" spans="1:15" ht="16.5" customHeight="1" x14ac:dyDescent="0.15">
      <c r="A147" s="243"/>
      <c r="B147" s="166" t="s">
        <v>26</v>
      </c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>
        <f t="shared" si="30"/>
        <v>0</v>
      </c>
    </row>
    <row r="148" spans="1:15" ht="16.5" customHeight="1" x14ac:dyDescent="0.15">
      <c r="A148" s="243"/>
      <c r="B148" s="166" t="s">
        <v>66</v>
      </c>
      <c r="C148" s="106"/>
      <c r="D148" s="105"/>
      <c r="E148" s="105"/>
      <c r="F148" s="105"/>
      <c r="G148" s="105"/>
      <c r="H148" s="105"/>
      <c r="I148" s="106"/>
      <c r="J148" s="106"/>
      <c r="K148" s="106"/>
      <c r="L148" s="106"/>
      <c r="M148" s="106"/>
      <c r="N148" s="106"/>
      <c r="O148" s="105">
        <f t="shared" si="30"/>
        <v>0</v>
      </c>
    </row>
    <row r="149" spans="1:15" ht="16.5" customHeight="1" x14ac:dyDescent="0.15">
      <c r="A149" s="243"/>
      <c r="B149" s="166" t="s">
        <v>22</v>
      </c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>
        <f t="shared" si="30"/>
        <v>0</v>
      </c>
    </row>
    <row r="150" spans="1:15" ht="16.5" customHeight="1" x14ac:dyDescent="0.15">
      <c r="A150" s="243"/>
      <c r="B150" s="166" t="s">
        <v>67</v>
      </c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>
        <f t="shared" si="30"/>
        <v>0</v>
      </c>
    </row>
    <row r="151" spans="1:15" ht="16.5" customHeight="1" x14ac:dyDescent="0.15">
      <c r="A151" s="243"/>
      <c r="B151" s="166" t="s">
        <v>23</v>
      </c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>
        <f t="shared" si="30"/>
        <v>0</v>
      </c>
    </row>
    <row r="152" spans="1:15" ht="16.5" customHeight="1" x14ac:dyDescent="0.15">
      <c r="A152" s="243"/>
      <c r="B152" s="166" t="s">
        <v>157</v>
      </c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>
        <f t="shared" si="30"/>
        <v>0</v>
      </c>
    </row>
    <row r="153" spans="1:15" ht="16.5" customHeight="1" x14ac:dyDescent="0.15">
      <c r="A153" s="243"/>
      <c r="B153" s="166" t="s">
        <v>158</v>
      </c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>
        <f t="shared" si="30"/>
        <v>0</v>
      </c>
    </row>
    <row r="154" spans="1:15" ht="16.5" customHeight="1" x14ac:dyDescent="0.15">
      <c r="A154" s="243"/>
      <c r="B154" s="166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</row>
    <row r="155" spans="1:15" ht="16.5" customHeight="1" thickBot="1" x14ac:dyDescent="0.2">
      <c r="A155" s="243"/>
      <c r="B155" s="166" t="s">
        <v>170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68">
        <f t="shared" si="30"/>
        <v>0</v>
      </c>
    </row>
    <row r="156" spans="1:15" ht="16.5" customHeight="1" thickTop="1" x14ac:dyDescent="0.15">
      <c r="A156" s="243"/>
      <c r="B156" s="169" t="s">
        <v>159</v>
      </c>
      <c r="C156" s="110"/>
      <c r="D156" s="110"/>
      <c r="E156" s="110"/>
      <c r="F156" s="110"/>
      <c r="G156" s="110"/>
      <c r="H156" s="110" t="str">
        <f t="shared" ref="H156:M156" si="31">IF(H144="","",H144-SUM(H145:H152))</f>
        <v/>
      </c>
      <c r="I156" s="110" t="str">
        <f t="shared" si="31"/>
        <v/>
      </c>
      <c r="J156" s="110" t="str">
        <f t="shared" si="31"/>
        <v/>
      </c>
      <c r="K156" s="110" t="str">
        <f t="shared" si="31"/>
        <v/>
      </c>
      <c r="L156" s="110" t="str">
        <f t="shared" si="31"/>
        <v/>
      </c>
      <c r="M156" s="110" t="str">
        <f t="shared" si="31"/>
        <v/>
      </c>
      <c r="N156" s="110" t="str">
        <f>IF(N144="","",N144-SUM(N145:N152))</f>
        <v/>
      </c>
      <c r="O156" s="110">
        <f>IF(O144="","",O144-SUM(O145:O152))</f>
        <v>0</v>
      </c>
    </row>
    <row r="157" spans="1:15" ht="16.5" customHeight="1" thickBot="1" x14ac:dyDescent="0.2">
      <c r="A157" s="244"/>
      <c r="B157" s="170" t="s">
        <v>160</v>
      </c>
      <c r="C157" s="112"/>
      <c r="D157" s="112"/>
      <c r="E157" s="112"/>
      <c r="F157" s="112"/>
      <c r="G157" s="112"/>
      <c r="H157" s="112" t="str">
        <f t="shared" ref="H157:O157" si="32">IF(H144="","",IF(H144=0,"―     ",H156/H144))</f>
        <v/>
      </c>
      <c r="I157" s="112" t="str">
        <f t="shared" si="32"/>
        <v/>
      </c>
      <c r="J157" s="112" t="str">
        <f t="shared" si="32"/>
        <v/>
      </c>
      <c r="K157" s="112" t="str">
        <f t="shared" si="32"/>
        <v/>
      </c>
      <c r="L157" s="112" t="str">
        <f t="shared" si="32"/>
        <v/>
      </c>
      <c r="M157" s="112" t="str">
        <f t="shared" si="32"/>
        <v/>
      </c>
      <c r="N157" s="112" t="str">
        <f t="shared" si="32"/>
        <v/>
      </c>
      <c r="O157" s="112" t="str">
        <f t="shared" si="32"/>
        <v xml:space="preserve">―     </v>
      </c>
    </row>
    <row r="158" spans="1:15" ht="16.5" customHeight="1" x14ac:dyDescent="0.15">
      <c r="A158" s="243"/>
      <c r="B158" s="164" t="s">
        <v>21</v>
      </c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3">
        <f>SUM(C158:N158)</f>
        <v>0</v>
      </c>
    </row>
    <row r="159" spans="1:15" ht="16.5" customHeight="1" x14ac:dyDescent="0.15">
      <c r="A159" s="243"/>
      <c r="B159" s="166" t="s">
        <v>155</v>
      </c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>
        <f t="shared" ref="O159:O169" si="33">SUM(C159:N159)</f>
        <v>0</v>
      </c>
    </row>
    <row r="160" spans="1:15" ht="16.5" customHeight="1" x14ac:dyDescent="0.15">
      <c r="A160" s="243"/>
      <c r="B160" s="167" t="s">
        <v>156</v>
      </c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>
        <f t="shared" si="33"/>
        <v>0</v>
      </c>
    </row>
    <row r="161" spans="1:15" ht="16.5" customHeight="1" x14ac:dyDescent="0.15">
      <c r="A161" s="243"/>
      <c r="B161" s="166" t="s">
        <v>26</v>
      </c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>
        <f t="shared" si="33"/>
        <v>0</v>
      </c>
    </row>
    <row r="162" spans="1:15" ht="16.5" customHeight="1" x14ac:dyDescent="0.15">
      <c r="A162" s="243"/>
      <c r="B162" s="166" t="s">
        <v>66</v>
      </c>
      <c r="C162" s="106"/>
      <c r="D162" s="105"/>
      <c r="E162" s="105"/>
      <c r="F162" s="105"/>
      <c r="G162" s="105"/>
      <c r="H162" s="105"/>
      <c r="I162" s="106"/>
      <c r="J162" s="106"/>
      <c r="K162" s="106"/>
      <c r="L162" s="106"/>
      <c r="M162" s="106"/>
      <c r="N162" s="106"/>
      <c r="O162" s="105">
        <f t="shared" si="33"/>
        <v>0</v>
      </c>
    </row>
    <row r="163" spans="1:15" ht="16.5" customHeight="1" x14ac:dyDescent="0.15">
      <c r="A163" s="243"/>
      <c r="B163" s="166" t="s">
        <v>22</v>
      </c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>
        <f t="shared" si="33"/>
        <v>0</v>
      </c>
    </row>
    <row r="164" spans="1:15" ht="16.5" customHeight="1" x14ac:dyDescent="0.15">
      <c r="A164" s="243"/>
      <c r="B164" s="166" t="s">
        <v>67</v>
      </c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>
        <f t="shared" si="33"/>
        <v>0</v>
      </c>
    </row>
    <row r="165" spans="1:15" ht="16.5" customHeight="1" x14ac:dyDescent="0.15">
      <c r="A165" s="243"/>
      <c r="B165" s="166" t="s">
        <v>23</v>
      </c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>
        <f t="shared" si="33"/>
        <v>0</v>
      </c>
    </row>
    <row r="166" spans="1:15" ht="16.5" customHeight="1" x14ac:dyDescent="0.15">
      <c r="A166" s="243"/>
      <c r="B166" s="166" t="s">
        <v>157</v>
      </c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>
        <f t="shared" si="33"/>
        <v>0</v>
      </c>
    </row>
    <row r="167" spans="1:15" ht="16.5" customHeight="1" x14ac:dyDescent="0.15">
      <c r="A167" s="243"/>
      <c r="B167" s="166" t="s">
        <v>158</v>
      </c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>
        <f t="shared" si="33"/>
        <v>0</v>
      </c>
    </row>
    <row r="168" spans="1:15" ht="16.5" customHeight="1" x14ac:dyDescent="0.15">
      <c r="A168" s="243"/>
      <c r="B168" s="166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</row>
    <row r="169" spans="1:15" ht="16.5" customHeight="1" thickBot="1" x14ac:dyDescent="0.2">
      <c r="A169" s="243"/>
      <c r="B169" s="166" t="s">
        <v>170</v>
      </c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68">
        <f t="shared" si="33"/>
        <v>0</v>
      </c>
    </row>
    <row r="170" spans="1:15" ht="16.5" customHeight="1" thickTop="1" x14ac:dyDescent="0.15">
      <c r="A170" s="243"/>
      <c r="B170" s="169" t="s">
        <v>159</v>
      </c>
      <c r="C170" s="110"/>
      <c r="D170" s="110"/>
      <c r="E170" s="110"/>
      <c r="F170" s="110"/>
      <c r="G170" s="110"/>
      <c r="H170" s="110" t="str">
        <f t="shared" ref="H170:M170" si="34">IF(H158="","",H158-SUM(H159:H166))</f>
        <v/>
      </c>
      <c r="I170" s="110" t="str">
        <f t="shared" si="34"/>
        <v/>
      </c>
      <c r="J170" s="110" t="str">
        <f t="shared" si="34"/>
        <v/>
      </c>
      <c r="K170" s="110" t="str">
        <f t="shared" si="34"/>
        <v/>
      </c>
      <c r="L170" s="110" t="str">
        <f t="shared" si="34"/>
        <v/>
      </c>
      <c r="M170" s="110" t="str">
        <f t="shared" si="34"/>
        <v/>
      </c>
      <c r="N170" s="110" t="str">
        <f>IF(N158="","",N158-SUM(N159:N166))</f>
        <v/>
      </c>
      <c r="O170" s="110">
        <f>IF(O158="","",O158-SUM(O159:O166))</f>
        <v>0</v>
      </c>
    </row>
    <row r="171" spans="1:15" ht="16.5" customHeight="1" thickBot="1" x14ac:dyDescent="0.2">
      <c r="A171" s="244"/>
      <c r="B171" s="170" t="s">
        <v>160</v>
      </c>
      <c r="C171" s="112"/>
      <c r="D171" s="112"/>
      <c r="E171" s="112"/>
      <c r="F171" s="112"/>
      <c r="G171" s="112"/>
      <c r="H171" s="112" t="str">
        <f t="shared" ref="H171:O171" si="35">IF(H158="","",IF(H158=0,"―     ",H170/H158))</f>
        <v/>
      </c>
      <c r="I171" s="112" t="str">
        <f t="shared" si="35"/>
        <v/>
      </c>
      <c r="J171" s="112" t="str">
        <f t="shared" si="35"/>
        <v/>
      </c>
      <c r="K171" s="112" t="str">
        <f t="shared" si="35"/>
        <v/>
      </c>
      <c r="L171" s="112" t="str">
        <f t="shared" si="35"/>
        <v/>
      </c>
      <c r="M171" s="112" t="str">
        <f t="shared" si="35"/>
        <v/>
      </c>
      <c r="N171" s="112" t="str">
        <f t="shared" si="35"/>
        <v/>
      </c>
      <c r="O171" s="112" t="str">
        <f t="shared" si="35"/>
        <v xml:space="preserve">―     </v>
      </c>
    </row>
    <row r="172" spans="1:15" ht="16.5" customHeight="1" x14ac:dyDescent="0.15">
      <c r="A172" s="243"/>
      <c r="B172" s="164" t="s">
        <v>21</v>
      </c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3">
        <f>SUM(C172:N172)</f>
        <v>0</v>
      </c>
    </row>
    <row r="173" spans="1:15" ht="16.5" customHeight="1" x14ac:dyDescent="0.15">
      <c r="A173" s="243"/>
      <c r="B173" s="166" t="s">
        <v>155</v>
      </c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>
        <f t="shared" ref="O173:O183" si="36">SUM(C173:N173)</f>
        <v>0</v>
      </c>
    </row>
    <row r="174" spans="1:15" ht="16.5" customHeight="1" x14ac:dyDescent="0.15">
      <c r="A174" s="243"/>
      <c r="B174" s="167" t="s">
        <v>156</v>
      </c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>
        <f t="shared" si="36"/>
        <v>0</v>
      </c>
    </row>
    <row r="175" spans="1:15" ht="16.5" customHeight="1" x14ac:dyDescent="0.15">
      <c r="A175" s="243"/>
      <c r="B175" s="166" t="s">
        <v>26</v>
      </c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>
        <f t="shared" si="36"/>
        <v>0</v>
      </c>
    </row>
    <row r="176" spans="1:15" ht="16.5" customHeight="1" x14ac:dyDescent="0.15">
      <c r="A176" s="243"/>
      <c r="B176" s="166" t="s">
        <v>66</v>
      </c>
      <c r="C176" s="106"/>
      <c r="D176" s="105"/>
      <c r="E176" s="105"/>
      <c r="F176" s="105"/>
      <c r="G176" s="105"/>
      <c r="H176" s="105"/>
      <c r="I176" s="106"/>
      <c r="J176" s="106"/>
      <c r="K176" s="106"/>
      <c r="L176" s="106"/>
      <c r="M176" s="106"/>
      <c r="N176" s="106"/>
      <c r="O176" s="105">
        <f t="shared" si="36"/>
        <v>0</v>
      </c>
    </row>
    <row r="177" spans="1:15" ht="16.5" customHeight="1" x14ac:dyDescent="0.15">
      <c r="A177" s="243"/>
      <c r="B177" s="166" t="s">
        <v>22</v>
      </c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>
        <f t="shared" si="36"/>
        <v>0</v>
      </c>
    </row>
    <row r="178" spans="1:15" ht="16.5" customHeight="1" x14ac:dyDescent="0.15">
      <c r="A178" s="243"/>
      <c r="B178" s="166" t="s">
        <v>67</v>
      </c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>
        <f t="shared" si="36"/>
        <v>0</v>
      </c>
    </row>
    <row r="179" spans="1:15" ht="16.5" customHeight="1" x14ac:dyDescent="0.15">
      <c r="A179" s="243"/>
      <c r="B179" s="166" t="s">
        <v>23</v>
      </c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>
        <f t="shared" si="36"/>
        <v>0</v>
      </c>
    </row>
    <row r="180" spans="1:15" ht="16.5" customHeight="1" x14ac:dyDescent="0.15">
      <c r="A180" s="243"/>
      <c r="B180" s="166" t="s">
        <v>157</v>
      </c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>
        <f t="shared" si="36"/>
        <v>0</v>
      </c>
    </row>
    <row r="181" spans="1:15" ht="16.5" customHeight="1" x14ac:dyDescent="0.15">
      <c r="A181" s="243"/>
      <c r="B181" s="166" t="s">
        <v>158</v>
      </c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>
        <f t="shared" si="36"/>
        <v>0</v>
      </c>
    </row>
    <row r="182" spans="1:15" ht="16.5" customHeight="1" x14ac:dyDescent="0.15">
      <c r="A182" s="243"/>
      <c r="B182" s="166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</row>
    <row r="183" spans="1:15" ht="16.5" customHeight="1" thickBot="1" x14ac:dyDescent="0.2">
      <c r="A183" s="243"/>
      <c r="B183" s="166" t="s">
        <v>170</v>
      </c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68">
        <f t="shared" si="36"/>
        <v>0</v>
      </c>
    </row>
    <row r="184" spans="1:15" ht="16.5" customHeight="1" thickTop="1" x14ac:dyDescent="0.15">
      <c r="A184" s="243"/>
      <c r="B184" s="169" t="s">
        <v>159</v>
      </c>
      <c r="C184" s="110"/>
      <c r="D184" s="110"/>
      <c r="E184" s="110"/>
      <c r="F184" s="110"/>
      <c r="G184" s="110"/>
      <c r="H184" s="110" t="str">
        <f t="shared" ref="H184:M184" si="37">IF(H172="","",H172-SUM(H173:H180))</f>
        <v/>
      </c>
      <c r="I184" s="110" t="str">
        <f t="shared" si="37"/>
        <v/>
      </c>
      <c r="J184" s="110" t="str">
        <f t="shared" si="37"/>
        <v/>
      </c>
      <c r="K184" s="110" t="str">
        <f t="shared" si="37"/>
        <v/>
      </c>
      <c r="L184" s="110" t="str">
        <f t="shared" si="37"/>
        <v/>
      </c>
      <c r="M184" s="110" t="str">
        <f t="shared" si="37"/>
        <v/>
      </c>
      <c r="N184" s="110" t="str">
        <f>IF(N172="","",N172-SUM(N173:N180))</f>
        <v/>
      </c>
      <c r="O184" s="110">
        <f>IF(O172="","",O172-SUM(O173:O180))</f>
        <v>0</v>
      </c>
    </row>
    <row r="185" spans="1:15" ht="16.5" customHeight="1" thickBot="1" x14ac:dyDescent="0.2">
      <c r="A185" s="244"/>
      <c r="B185" s="170" t="s">
        <v>160</v>
      </c>
      <c r="C185" s="112"/>
      <c r="D185" s="112"/>
      <c r="E185" s="112"/>
      <c r="F185" s="112"/>
      <c r="G185" s="112"/>
      <c r="H185" s="112" t="str">
        <f t="shared" ref="H185:O185" si="38">IF(H172="","",IF(H172=0,"―     ",H184/H172))</f>
        <v/>
      </c>
      <c r="I185" s="112" t="str">
        <f t="shared" si="38"/>
        <v/>
      </c>
      <c r="J185" s="112" t="str">
        <f t="shared" si="38"/>
        <v/>
      </c>
      <c r="K185" s="112" t="str">
        <f t="shared" si="38"/>
        <v/>
      </c>
      <c r="L185" s="112" t="str">
        <f t="shared" si="38"/>
        <v/>
      </c>
      <c r="M185" s="112" t="str">
        <f t="shared" si="38"/>
        <v/>
      </c>
      <c r="N185" s="112" t="str">
        <f t="shared" si="38"/>
        <v/>
      </c>
      <c r="O185" s="112" t="str">
        <f t="shared" si="38"/>
        <v xml:space="preserve">―     </v>
      </c>
    </row>
    <row r="186" spans="1:15" ht="16.5" customHeight="1" x14ac:dyDescent="0.15">
      <c r="A186" s="243"/>
      <c r="B186" s="164" t="s">
        <v>21</v>
      </c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3">
        <f>SUM(C186:N186)</f>
        <v>0</v>
      </c>
    </row>
    <row r="187" spans="1:15" ht="16.5" customHeight="1" x14ac:dyDescent="0.15">
      <c r="A187" s="243"/>
      <c r="B187" s="166" t="s">
        <v>155</v>
      </c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>
        <f t="shared" ref="O187:O197" si="39">SUM(C187:N187)</f>
        <v>0</v>
      </c>
    </row>
    <row r="188" spans="1:15" ht="16.5" customHeight="1" x14ac:dyDescent="0.15">
      <c r="A188" s="243"/>
      <c r="B188" s="167" t="s">
        <v>156</v>
      </c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>
        <f t="shared" si="39"/>
        <v>0</v>
      </c>
    </row>
    <row r="189" spans="1:15" ht="16.5" customHeight="1" x14ac:dyDescent="0.15">
      <c r="A189" s="243"/>
      <c r="B189" s="166" t="s">
        <v>26</v>
      </c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>
        <f t="shared" si="39"/>
        <v>0</v>
      </c>
    </row>
    <row r="190" spans="1:15" ht="16.5" customHeight="1" x14ac:dyDescent="0.15">
      <c r="A190" s="243"/>
      <c r="B190" s="166" t="s">
        <v>66</v>
      </c>
      <c r="C190" s="106"/>
      <c r="D190" s="105"/>
      <c r="E190" s="105"/>
      <c r="F190" s="105"/>
      <c r="G190" s="105"/>
      <c r="H190" s="105"/>
      <c r="I190" s="106"/>
      <c r="J190" s="106"/>
      <c r="K190" s="106"/>
      <c r="L190" s="106"/>
      <c r="M190" s="106"/>
      <c r="N190" s="106"/>
      <c r="O190" s="105">
        <f t="shared" si="39"/>
        <v>0</v>
      </c>
    </row>
    <row r="191" spans="1:15" ht="16.5" customHeight="1" x14ac:dyDescent="0.15">
      <c r="A191" s="243"/>
      <c r="B191" s="166" t="s">
        <v>22</v>
      </c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>
        <f t="shared" si="39"/>
        <v>0</v>
      </c>
    </row>
    <row r="192" spans="1:15" ht="16.5" customHeight="1" x14ac:dyDescent="0.15">
      <c r="A192" s="243"/>
      <c r="B192" s="166" t="s">
        <v>67</v>
      </c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>
        <f t="shared" si="39"/>
        <v>0</v>
      </c>
    </row>
    <row r="193" spans="1:15" ht="16.5" customHeight="1" x14ac:dyDescent="0.15">
      <c r="A193" s="243"/>
      <c r="B193" s="166" t="s">
        <v>23</v>
      </c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>
        <f t="shared" si="39"/>
        <v>0</v>
      </c>
    </row>
    <row r="194" spans="1:15" ht="16.5" customHeight="1" x14ac:dyDescent="0.15">
      <c r="A194" s="243"/>
      <c r="B194" s="166" t="s">
        <v>157</v>
      </c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>
        <f t="shared" si="39"/>
        <v>0</v>
      </c>
    </row>
    <row r="195" spans="1:15" ht="16.5" customHeight="1" x14ac:dyDescent="0.15">
      <c r="A195" s="243"/>
      <c r="B195" s="166" t="s">
        <v>158</v>
      </c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>
        <f t="shared" si="39"/>
        <v>0</v>
      </c>
    </row>
    <row r="196" spans="1:15" ht="16.5" customHeight="1" x14ac:dyDescent="0.15">
      <c r="A196" s="243"/>
      <c r="B196" s="166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</row>
    <row r="197" spans="1:15" ht="16.5" customHeight="1" thickBot="1" x14ac:dyDescent="0.2">
      <c r="A197" s="243"/>
      <c r="B197" s="166" t="s">
        <v>170</v>
      </c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68">
        <f t="shared" si="39"/>
        <v>0</v>
      </c>
    </row>
    <row r="198" spans="1:15" ht="16.5" customHeight="1" thickTop="1" x14ac:dyDescent="0.15">
      <c r="A198" s="243"/>
      <c r="B198" s="169" t="s">
        <v>159</v>
      </c>
      <c r="C198" s="110"/>
      <c r="D198" s="110"/>
      <c r="E198" s="110"/>
      <c r="F198" s="110"/>
      <c r="G198" s="110"/>
      <c r="H198" s="110" t="str">
        <f t="shared" ref="H198:M198" si="40">IF(H186="","",H186-SUM(H187:H194))</f>
        <v/>
      </c>
      <c r="I198" s="110" t="str">
        <f t="shared" si="40"/>
        <v/>
      </c>
      <c r="J198" s="110" t="str">
        <f t="shared" si="40"/>
        <v/>
      </c>
      <c r="K198" s="110" t="str">
        <f t="shared" si="40"/>
        <v/>
      </c>
      <c r="L198" s="110" t="str">
        <f t="shared" si="40"/>
        <v/>
      </c>
      <c r="M198" s="110" t="str">
        <f t="shared" si="40"/>
        <v/>
      </c>
      <c r="N198" s="110" t="str">
        <f>IF(N186="","",N186-SUM(N187:N194))</f>
        <v/>
      </c>
      <c r="O198" s="110">
        <f>IF(O186="","",O186-SUM(O187:O194))</f>
        <v>0</v>
      </c>
    </row>
    <row r="199" spans="1:15" ht="16.5" customHeight="1" thickBot="1" x14ac:dyDescent="0.2">
      <c r="A199" s="244"/>
      <c r="B199" s="170" t="s">
        <v>160</v>
      </c>
      <c r="C199" s="112"/>
      <c r="D199" s="112"/>
      <c r="E199" s="112"/>
      <c r="F199" s="112"/>
      <c r="G199" s="112"/>
      <c r="H199" s="112" t="str">
        <f t="shared" ref="H199:O199" si="41">IF(H186="","",IF(H186=0,"―     ",H198/H186))</f>
        <v/>
      </c>
      <c r="I199" s="112" t="str">
        <f t="shared" si="41"/>
        <v/>
      </c>
      <c r="J199" s="112" t="str">
        <f t="shared" si="41"/>
        <v/>
      </c>
      <c r="K199" s="112" t="str">
        <f t="shared" si="41"/>
        <v/>
      </c>
      <c r="L199" s="112" t="str">
        <f t="shared" si="41"/>
        <v/>
      </c>
      <c r="M199" s="112" t="str">
        <f t="shared" si="41"/>
        <v/>
      </c>
      <c r="N199" s="112" t="str">
        <f t="shared" si="41"/>
        <v/>
      </c>
      <c r="O199" s="112" t="str">
        <f t="shared" si="41"/>
        <v xml:space="preserve">―     </v>
      </c>
    </row>
    <row r="200" spans="1:15" ht="16.5" customHeight="1" x14ac:dyDescent="0.15">
      <c r="A200" s="243"/>
      <c r="B200" s="164" t="s">
        <v>21</v>
      </c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3">
        <f>SUM(C200:N200)</f>
        <v>0</v>
      </c>
    </row>
    <row r="201" spans="1:15" ht="16.5" customHeight="1" x14ac:dyDescent="0.15">
      <c r="A201" s="243"/>
      <c r="B201" s="166" t="s">
        <v>155</v>
      </c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>
        <f t="shared" ref="O201:O211" si="42">SUM(C201:N201)</f>
        <v>0</v>
      </c>
    </row>
    <row r="202" spans="1:15" ht="16.5" customHeight="1" x14ac:dyDescent="0.15">
      <c r="A202" s="243"/>
      <c r="B202" s="167" t="s">
        <v>156</v>
      </c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>
        <f t="shared" si="42"/>
        <v>0</v>
      </c>
    </row>
    <row r="203" spans="1:15" ht="16.5" customHeight="1" x14ac:dyDescent="0.15">
      <c r="A203" s="243"/>
      <c r="B203" s="166" t="s">
        <v>26</v>
      </c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>
        <f t="shared" si="42"/>
        <v>0</v>
      </c>
    </row>
    <row r="204" spans="1:15" ht="16.5" customHeight="1" x14ac:dyDescent="0.15">
      <c r="A204" s="243"/>
      <c r="B204" s="166" t="s">
        <v>66</v>
      </c>
      <c r="C204" s="106"/>
      <c r="D204" s="105"/>
      <c r="E204" s="105"/>
      <c r="F204" s="105"/>
      <c r="G204" s="105"/>
      <c r="H204" s="105"/>
      <c r="I204" s="106"/>
      <c r="J204" s="106"/>
      <c r="K204" s="106"/>
      <c r="L204" s="106"/>
      <c r="M204" s="106"/>
      <c r="N204" s="106"/>
      <c r="O204" s="105">
        <f t="shared" si="42"/>
        <v>0</v>
      </c>
    </row>
    <row r="205" spans="1:15" ht="16.5" customHeight="1" x14ac:dyDescent="0.15">
      <c r="A205" s="243"/>
      <c r="B205" s="166" t="s">
        <v>22</v>
      </c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>
        <f t="shared" si="42"/>
        <v>0</v>
      </c>
    </row>
    <row r="206" spans="1:15" ht="16.5" customHeight="1" x14ac:dyDescent="0.15">
      <c r="A206" s="243"/>
      <c r="B206" s="166" t="s">
        <v>67</v>
      </c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>
        <f t="shared" si="42"/>
        <v>0</v>
      </c>
    </row>
    <row r="207" spans="1:15" ht="16.5" customHeight="1" x14ac:dyDescent="0.15">
      <c r="A207" s="243"/>
      <c r="B207" s="166" t="s">
        <v>23</v>
      </c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>
        <f t="shared" si="42"/>
        <v>0</v>
      </c>
    </row>
    <row r="208" spans="1:15" ht="16.5" customHeight="1" x14ac:dyDescent="0.15">
      <c r="A208" s="243"/>
      <c r="B208" s="166" t="s">
        <v>157</v>
      </c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>
        <f t="shared" si="42"/>
        <v>0</v>
      </c>
    </row>
    <row r="209" spans="1:15" ht="16.5" customHeight="1" x14ac:dyDescent="0.15">
      <c r="A209" s="243"/>
      <c r="B209" s="166" t="s">
        <v>158</v>
      </c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>
        <f t="shared" si="42"/>
        <v>0</v>
      </c>
    </row>
    <row r="210" spans="1:15" ht="16.5" customHeight="1" x14ac:dyDescent="0.15">
      <c r="A210" s="243"/>
      <c r="B210" s="166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</row>
    <row r="211" spans="1:15" ht="16.5" customHeight="1" thickBot="1" x14ac:dyDescent="0.2">
      <c r="A211" s="243"/>
      <c r="B211" s="166" t="s">
        <v>170</v>
      </c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68">
        <f t="shared" si="42"/>
        <v>0</v>
      </c>
    </row>
    <row r="212" spans="1:15" ht="16.5" customHeight="1" thickTop="1" x14ac:dyDescent="0.15">
      <c r="A212" s="243"/>
      <c r="B212" s="169" t="s">
        <v>159</v>
      </c>
      <c r="C212" s="110"/>
      <c r="D212" s="110"/>
      <c r="E212" s="110"/>
      <c r="F212" s="110"/>
      <c r="G212" s="110"/>
      <c r="H212" s="110" t="str">
        <f t="shared" ref="H212:M212" si="43">IF(H200="","",H200-SUM(H201:H208))</f>
        <v/>
      </c>
      <c r="I212" s="110" t="str">
        <f t="shared" si="43"/>
        <v/>
      </c>
      <c r="J212" s="110" t="str">
        <f t="shared" si="43"/>
        <v/>
      </c>
      <c r="K212" s="110" t="str">
        <f t="shared" si="43"/>
        <v/>
      </c>
      <c r="L212" s="110" t="str">
        <f t="shared" si="43"/>
        <v/>
      </c>
      <c r="M212" s="110" t="str">
        <f t="shared" si="43"/>
        <v/>
      </c>
      <c r="N212" s="110" t="str">
        <f>IF(N200="","",N200-SUM(N201:N208))</f>
        <v/>
      </c>
      <c r="O212" s="110">
        <f>IF(O200="","",O200-SUM(O201:O208))</f>
        <v>0</v>
      </c>
    </row>
    <row r="213" spans="1:15" ht="16.5" customHeight="1" thickBot="1" x14ac:dyDescent="0.2">
      <c r="A213" s="244"/>
      <c r="B213" s="170" t="s">
        <v>160</v>
      </c>
      <c r="C213" s="112"/>
      <c r="D213" s="112"/>
      <c r="E213" s="112"/>
      <c r="F213" s="112"/>
      <c r="G213" s="112"/>
      <c r="H213" s="112" t="str">
        <f t="shared" ref="H213:O213" si="44">IF(H200="","",IF(H200=0,"―     ",H212/H200))</f>
        <v/>
      </c>
      <c r="I213" s="112" t="str">
        <f t="shared" si="44"/>
        <v/>
      </c>
      <c r="J213" s="112" t="str">
        <f t="shared" si="44"/>
        <v/>
      </c>
      <c r="K213" s="112" t="str">
        <f t="shared" si="44"/>
        <v/>
      </c>
      <c r="L213" s="112" t="str">
        <f t="shared" si="44"/>
        <v/>
      </c>
      <c r="M213" s="112" t="str">
        <f t="shared" si="44"/>
        <v/>
      </c>
      <c r="N213" s="112" t="str">
        <f t="shared" si="44"/>
        <v/>
      </c>
      <c r="O213" s="112" t="str">
        <f t="shared" si="44"/>
        <v xml:space="preserve">―     </v>
      </c>
    </row>
    <row r="214" spans="1:15" ht="16.5" customHeight="1" x14ac:dyDescent="0.15">
      <c r="A214" s="243"/>
      <c r="B214" s="164" t="s">
        <v>21</v>
      </c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3">
        <f>SUM(C214:N214)</f>
        <v>0</v>
      </c>
    </row>
    <row r="215" spans="1:15" ht="16.5" customHeight="1" x14ac:dyDescent="0.15">
      <c r="A215" s="243"/>
      <c r="B215" s="166" t="s">
        <v>155</v>
      </c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>
        <f t="shared" ref="O215:O225" si="45">SUM(C215:N215)</f>
        <v>0</v>
      </c>
    </row>
    <row r="216" spans="1:15" ht="16.5" customHeight="1" x14ac:dyDescent="0.15">
      <c r="A216" s="243"/>
      <c r="B216" s="167" t="s">
        <v>156</v>
      </c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>
        <f t="shared" si="45"/>
        <v>0</v>
      </c>
    </row>
    <row r="217" spans="1:15" ht="16.5" customHeight="1" x14ac:dyDescent="0.15">
      <c r="A217" s="243"/>
      <c r="B217" s="166" t="s">
        <v>26</v>
      </c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>
        <f t="shared" si="45"/>
        <v>0</v>
      </c>
    </row>
    <row r="218" spans="1:15" ht="16.5" customHeight="1" x14ac:dyDescent="0.15">
      <c r="A218" s="243"/>
      <c r="B218" s="166" t="s">
        <v>66</v>
      </c>
      <c r="C218" s="106"/>
      <c r="D218" s="105"/>
      <c r="E218" s="105"/>
      <c r="F218" s="105"/>
      <c r="G218" s="105"/>
      <c r="H218" s="105"/>
      <c r="I218" s="106"/>
      <c r="J218" s="106"/>
      <c r="K218" s="106"/>
      <c r="L218" s="106"/>
      <c r="M218" s="106"/>
      <c r="N218" s="106"/>
      <c r="O218" s="105">
        <f t="shared" si="45"/>
        <v>0</v>
      </c>
    </row>
    <row r="219" spans="1:15" ht="16.5" customHeight="1" x14ac:dyDescent="0.15">
      <c r="A219" s="243"/>
      <c r="B219" s="166" t="s">
        <v>22</v>
      </c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>
        <f t="shared" si="45"/>
        <v>0</v>
      </c>
    </row>
    <row r="220" spans="1:15" ht="16.5" customHeight="1" x14ac:dyDescent="0.15">
      <c r="A220" s="243"/>
      <c r="B220" s="166" t="s">
        <v>67</v>
      </c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>
        <f t="shared" si="45"/>
        <v>0</v>
      </c>
    </row>
    <row r="221" spans="1:15" ht="16.5" customHeight="1" x14ac:dyDescent="0.15">
      <c r="A221" s="243"/>
      <c r="B221" s="166" t="s">
        <v>23</v>
      </c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>
        <f t="shared" si="45"/>
        <v>0</v>
      </c>
    </row>
    <row r="222" spans="1:15" ht="16.5" customHeight="1" x14ac:dyDescent="0.15">
      <c r="A222" s="243"/>
      <c r="B222" s="166" t="s">
        <v>157</v>
      </c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>
        <f t="shared" si="45"/>
        <v>0</v>
      </c>
    </row>
    <row r="223" spans="1:15" ht="16.5" customHeight="1" x14ac:dyDescent="0.15">
      <c r="A223" s="243"/>
      <c r="B223" s="166" t="s">
        <v>158</v>
      </c>
      <c r="C223" s="105"/>
      <c r="D223" s="10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>
        <f t="shared" si="45"/>
        <v>0</v>
      </c>
    </row>
    <row r="224" spans="1:15" ht="16.5" customHeight="1" x14ac:dyDescent="0.15">
      <c r="A224" s="243"/>
      <c r="B224" s="166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</row>
    <row r="225" spans="1:15" ht="16.5" customHeight="1" thickBot="1" x14ac:dyDescent="0.2">
      <c r="A225" s="243"/>
      <c r="B225" s="166" t="s">
        <v>170</v>
      </c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68">
        <f t="shared" si="45"/>
        <v>0</v>
      </c>
    </row>
    <row r="226" spans="1:15" ht="16.5" customHeight="1" thickTop="1" x14ac:dyDescent="0.15">
      <c r="A226" s="243"/>
      <c r="B226" s="169" t="s">
        <v>159</v>
      </c>
      <c r="C226" s="110"/>
      <c r="D226" s="110"/>
      <c r="E226" s="110"/>
      <c r="F226" s="110"/>
      <c r="G226" s="110"/>
      <c r="H226" s="110" t="str">
        <f t="shared" ref="H226:M226" si="46">IF(H214="","",H214-SUM(H215:H222))</f>
        <v/>
      </c>
      <c r="I226" s="110" t="str">
        <f t="shared" si="46"/>
        <v/>
      </c>
      <c r="J226" s="110" t="str">
        <f t="shared" si="46"/>
        <v/>
      </c>
      <c r="K226" s="110" t="str">
        <f t="shared" si="46"/>
        <v/>
      </c>
      <c r="L226" s="110" t="str">
        <f t="shared" si="46"/>
        <v/>
      </c>
      <c r="M226" s="110" t="str">
        <f t="shared" si="46"/>
        <v/>
      </c>
      <c r="N226" s="110" t="str">
        <f>IF(N214="","",N214-SUM(N215:N222))</f>
        <v/>
      </c>
      <c r="O226" s="110">
        <f>IF(O214="","",O214-SUM(O215:O222))</f>
        <v>0</v>
      </c>
    </row>
    <row r="227" spans="1:15" ht="16.5" customHeight="1" thickBot="1" x14ac:dyDescent="0.2">
      <c r="A227" s="244"/>
      <c r="B227" s="170" t="s">
        <v>160</v>
      </c>
      <c r="C227" s="112"/>
      <c r="D227" s="112"/>
      <c r="E227" s="112"/>
      <c r="F227" s="112"/>
      <c r="G227" s="112"/>
      <c r="H227" s="112" t="str">
        <f t="shared" ref="H227:O227" si="47">IF(H214="","",IF(H214=0,"―     ",H226/H214))</f>
        <v/>
      </c>
      <c r="I227" s="112" t="str">
        <f t="shared" si="47"/>
        <v/>
      </c>
      <c r="J227" s="112" t="str">
        <f t="shared" si="47"/>
        <v/>
      </c>
      <c r="K227" s="112" t="str">
        <f t="shared" si="47"/>
        <v/>
      </c>
      <c r="L227" s="112" t="str">
        <f t="shared" si="47"/>
        <v/>
      </c>
      <c r="M227" s="112" t="str">
        <f t="shared" si="47"/>
        <v/>
      </c>
      <c r="N227" s="112" t="str">
        <f t="shared" si="47"/>
        <v/>
      </c>
      <c r="O227" s="112" t="str">
        <f t="shared" si="47"/>
        <v xml:space="preserve">―     </v>
      </c>
    </row>
    <row r="228" spans="1:15" ht="16.5" customHeight="1" x14ac:dyDescent="0.15">
      <c r="A228" s="243"/>
      <c r="B228" s="164" t="s">
        <v>21</v>
      </c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3">
        <f>SUM(C228:N228)</f>
        <v>0</v>
      </c>
    </row>
    <row r="229" spans="1:15" ht="16.5" customHeight="1" x14ac:dyDescent="0.15">
      <c r="A229" s="243"/>
      <c r="B229" s="166" t="s">
        <v>155</v>
      </c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>
        <f t="shared" ref="O229:O237" si="48">SUM(C229:N229)</f>
        <v>0</v>
      </c>
    </row>
    <row r="230" spans="1:15" ht="16.5" customHeight="1" x14ac:dyDescent="0.15">
      <c r="A230" s="243"/>
      <c r="B230" s="167" t="s">
        <v>156</v>
      </c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>
        <f t="shared" si="48"/>
        <v>0</v>
      </c>
    </row>
    <row r="231" spans="1:15" ht="16.5" customHeight="1" x14ac:dyDescent="0.15">
      <c r="A231" s="243"/>
      <c r="B231" s="166" t="s">
        <v>26</v>
      </c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>
        <f t="shared" si="48"/>
        <v>0</v>
      </c>
    </row>
    <row r="232" spans="1:15" ht="16.5" customHeight="1" x14ac:dyDescent="0.15">
      <c r="A232" s="243"/>
      <c r="B232" s="166" t="s">
        <v>66</v>
      </c>
      <c r="C232" s="106"/>
      <c r="D232" s="105"/>
      <c r="E232" s="105"/>
      <c r="F232" s="105"/>
      <c r="G232" s="105"/>
      <c r="H232" s="105"/>
      <c r="I232" s="106"/>
      <c r="J232" s="106"/>
      <c r="K232" s="106"/>
      <c r="L232" s="106"/>
      <c r="M232" s="106"/>
      <c r="N232" s="106"/>
      <c r="O232" s="105">
        <f t="shared" si="48"/>
        <v>0</v>
      </c>
    </row>
    <row r="233" spans="1:15" ht="16.5" customHeight="1" x14ac:dyDescent="0.15">
      <c r="A233" s="243"/>
      <c r="B233" s="166" t="s">
        <v>22</v>
      </c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>
        <f t="shared" si="48"/>
        <v>0</v>
      </c>
    </row>
    <row r="234" spans="1:15" ht="16.5" customHeight="1" x14ac:dyDescent="0.15">
      <c r="A234" s="243"/>
      <c r="B234" s="166" t="s">
        <v>67</v>
      </c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>
        <f t="shared" si="48"/>
        <v>0</v>
      </c>
    </row>
    <row r="235" spans="1:15" ht="16.5" customHeight="1" x14ac:dyDescent="0.15">
      <c r="A235" s="243"/>
      <c r="B235" s="166" t="s">
        <v>23</v>
      </c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>
        <f t="shared" si="48"/>
        <v>0</v>
      </c>
    </row>
    <row r="236" spans="1:15" ht="16.5" customHeight="1" x14ac:dyDescent="0.15">
      <c r="A236" s="243"/>
      <c r="B236" s="166" t="s">
        <v>157</v>
      </c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>
        <f t="shared" si="48"/>
        <v>0</v>
      </c>
    </row>
    <row r="237" spans="1:15" ht="16.5" customHeight="1" x14ac:dyDescent="0.15">
      <c r="A237" s="243"/>
      <c r="B237" s="166" t="s">
        <v>158</v>
      </c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>
        <f t="shared" si="48"/>
        <v>0</v>
      </c>
    </row>
    <row r="238" spans="1:15" ht="16.5" customHeight="1" x14ac:dyDescent="0.15">
      <c r="A238" s="243"/>
      <c r="B238" s="166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</row>
    <row r="239" spans="1:15" ht="16.5" customHeight="1" thickBot="1" x14ac:dyDescent="0.2">
      <c r="A239" s="243"/>
      <c r="B239" s="166" t="s">
        <v>170</v>
      </c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68">
        <f>SUM(C239:N239)</f>
        <v>0</v>
      </c>
    </row>
    <row r="240" spans="1:15" ht="16.5" customHeight="1" thickTop="1" x14ac:dyDescent="0.15">
      <c r="A240" s="243"/>
      <c r="B240" s="169" t="s">
        <v>159</v>
      </c>
      <c r="C240" s="110"/>
      <c r="D240" s="110"/>
      <c r="E240" s="110"/>
      <c r="F240" s="110"/>
      <c r="G240" s="110"/>
      <c r="H240" s="110" t="str">
        <f t="shared" ref="H240:M240" si="49">IF(H228="","",H228-SUM(H229:H236))</f>
        <v/>
      </c>
      <c r="I240" s="110" t="str">
        <f t="shared" si="49"/>
        <v/>
      </c>
      <c r="J240" s="110" t="str">
        <f t="shared" si="49"/>
        <v/>
      </c>
      <c r="K240" s="110" t="str">
        <f t="shared" si="49"/>
        <v/>
      </c>
      <c r="L240" s="110" t="str">
        <f t="shared" si="49"/>
        <v/>
      </c>
      <c r="M240" s="110" t="str">
        <f t="shared" si="49"/>
        <v/>
      </c>
      <c r="N240" s="110" t="str">
        <f>IF(N228="","",N228-SUM(N229:N236))</f>
        <v/>
      </c>
      <c r="O240" s="110">
        <f>IF(O228="","",O228-SUM(O229:O236))</f>
        <v>0</v>
      </c>
    </row>
    <row r="241" spans="1:15" ht="16.5" customHeight="1" thickBot="1" x14ac:dyDescent="0.2">
      <c r="A241" s="244"/>
      <c r="B241" s="170" t="s">
        <v>160</v>
      </c>
      <c r="C241" s="112"/>
      <c r="D241" s="112"/>
      <c r="E241" s="112"/>
      <c r="F241" s="112"/>
      <c r="G241" s="112"/>
      <c r="H241" s="112" t="str">
        <f t="shared" ref="H241:O241" si="50">IF(H228="","",IF(H228=0,"―     ",H240/H228))</f>
        <v/>
      </c>
      <c r="I241" s="112" t="str">
        <f t="shared" si="50"/>
        <v/>
      </c>
      <c r="J241" s="112" t="str">
        <f t="shared" si="50"/>
        <v/>
      </c>
      <c r="K241" s="112" t="str">
        <f t="shared" si="50"/>
        <v/>
      </c>
      <c r="L241" s="112" t="str">
        <f t="shared" si="50"/>
        <v/>
      </c>
      <c r="M241" s="112" t="str">
        <f t="shared" si="50"/>
        <v/>
      </c>
      <c r="N241" s="112" t="str">
        <f t="shared" si="50"/>
        <v/>
      </c>
      <c r="O241" s="112" t="str">
        <f t="shared" si="50"/>
        <v xml:space="preserve">―     </v>
      </c>
    </row>
    <row r="242" spans="1:15" ht="16.5" customHeight="1" x14ac:dyDescent="0.15">
      <c r="A242" s="243"/>
      <c r="B242" s="164" t="s">
        <v>21</v>
      </c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3">
        <f>SUM(C242:N242)</f>
        <v>0</v>
      </c>
    </row>
    <row r="243" spans="1:15" ht="16.5" customHeight="1" x14ac:dyDescent="0.15">
      <c r="A243" s="243"/>
      <c r="B243" s="166" t="s">
        <v>155</v>
      </c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>
        <f t="shared" ref="O243:O251" si="51">SUM(C243:N243)</f>
        <v>0</v>
      </c>
    </row>
    <row r="244" spans="1:15" ht="16.5" customHeight="1" x14ac:dyDescent="0.15">
      <c r="A244" s="243"/>
      <c r="B244" s="167" t="s">
        <v>156</v>
      </c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>
        <f t="shared" si="51"/>
        <v>0</v>
      </c>
    </row>
    <row r="245" spans="1:15" ht="16.5" customHeight="1" x14ac:dyDescent="0.15">
      <c r="A245" s="243"/>
      <c r="B245" s="166" t="s">
        <v>26</v>
      </c>
      <c r="C245" s="105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>
        <f t="shared" si="51"/>
        <v>0</v>
      </c>
    </row>
    <row r="246" spans="1:15" ht="16.5" customHeight="1" x14ac:dyDescent="0.15">
      <c r="A246" s="243"/>
      <c r="B246" s="166" t="s">
        <v>66</v>
      </c>
      <c r="C246" s="106"/>
      <c r="D246" s="105"/>
      <c r="E246" s="105"/>
      <c r="F246" s="105"/>
      <c r="G246" s="105"/>
      <c r="H246" s="105"/>
      <c r="I246" s="106"/>
      <c r="J246" s="106"/>
      <c r="K246" s="106"/>
      <c r="L246" s="106"/>
      <c r="M246" s="106"/>
      <c r="N246" s="106"/>
      <c r="O246" s="105">
        <f t="shared" si="51"/>
        <v>0</v>
      </c>
    </row>
    <row r="247" spans="1:15" ht="16.5" customHeight="1" x14ac:dyDescent="0.15">
      <c r="A247" s="243"/>
      <c r="B247" s="166" t="s">
        <v>22</v>
      </c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>
        <f t="shared" si="51"/>
        <v>0</v>
      </c>
    </row>
    <row r="248" spans="1:15" ht="16.5" customHeight="1" x14ac:dyDescent="0.15">
      <c r="A248" s="243"/>
      <c r="B248" s="166" t="s">
        <v>67</v>
      </c>
      <c r="C248" s="105"/>
      <c r="D248" s="105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>
        <f t="shared" si="51"/>
        <v>0</v>
      </c>
    </row>
    <row r="249" spans="1:15" ht="16.5" customHeight="1" x14ac:dyDescent="0.15">
      <c r="A249" s="243"/>
      <c r="B249" s="166" t="s">
        <v>23</v>
      </c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>
        <f t="shared" si="51"/>
        <v>0</v>
      </c>
    </row>
    <row r="250" spans="1:15" ht="16.5" customHeight="1" x14ac:dyDescent="0.15">
      <c r="A250" s="243"/>
      <c r="B250" s="166" t="s">
        <v>157</v>
      </c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>
        <f t="shared" si="51"/>
        <v>0</v>
      </c>
    </row>
    <row r="251" spans="1:15" ht="16.5" customHeight="1" x14ac:dyDescent="0.15">
      <c r="A251" s="243"/>
      <c r="B251" s="166" t="s">
        <v>158</v>
      </c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>
        <f t="shared" si="51"/>
        <v>0</v>
      </c>
    </row>
    <row r="252" spans="1:15" ht="16.5" customHeight="1" x14ac:dyDescent="0.15">
      <c r="A252" s="243"/>
      <c r="B252" s="166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</row>
    <row r="253" spans="1:15" ht="16.5" customHeight="1" thickBot="1" x14ac:dyDescent="0.2">
      <c r="A253" s="243"/>
      <c r="B253" s="166" t="s">
        <v>161</v>
      </c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68">
        <f>SUM(C253:N253)</f>
        <v>0</v>
      </c>
    </row>
    <row r="254" spans="1:15" ht="16.5" customHeight="1" thickTop="1" x14ac:dyDescent="0.15">
      <c r="A254" s="243"/>
      <c r="B254" s="169" t="s">
        <v>159</v>
      </c>
      <c r="C254" s="110"/>
      <c r="D254" s="110"/>
      <c r="E254" s="110"/>
      <c r="F254" s="110"/>
      <c r="G254" s="110"/>
      <c r="H254" s="110" t="str">
        <f t="shared" ref="H254:M254" si="52">IF(H242="","",H242-SUM(H243:H250))</f>
        <v/>
      </c>
      <c r="I254" s="110" t="str">
        <f t="shared" si="52"/>
        <v/>
      </c>
      <c r="J254" s="110" t="str">
        <f t="shared" si="52"/>
        <v/>
      </c>
      <c r="K254" s="110" t="str">
        <f t="shared" si="52"/>
        <v/>
      </c>
      <c r="L254" s="110" t="str">
        <f t="shared" si="52"/>
        <v/>
      </c>
      <c r="M254" s="110" t="str">
        <f t="shared" si="52"/>
        <v/>
      </c>
      <c r="N254" s="110" t="str">
        <f>IF(N242="","",N242-SUM(N243:N250))</f>
        <v/>
      </c>
      <c r="O254" s="110">
        <f>IF(O242="","",O242-SUM(O243:O250))</f>
        <v>0</v>
      </c>
    </row>
    <row r="255" spans="1:15" ht="16.5" customHeight="1" thickBot="1" x14ac:dyDescent="0.2">
      <c r="A255" s="244"/>
      <c r="B255" s="170" t="s">
        <v>160</v>
      </c>
      <c r="C255" s="112"/>
      <c r="D255" s="112"/>
      <c r="E255" s="112"/>
      <c r="F255" s="112"/>
      <c r="G255" s="112"/>
      <c r="H255" s="112" t="str">
        <f t="shared" ref="H255:O255" si="53">IF(H242="","",IF(H242=0,"―     ",H254/H242))</f>
        <v/>
      </c>
      <c r="I255" s="112" t="str">
        <f t="shared" si="53"/>
        <v/>
      </c>
      <c r="J255" s="112" t="str">
        <f t="shared" si="53"/>
        <v/>
      </c>
      <c r="K255" s="112" t="str">
        <f t="shared" si="53"/>
        <v/>
      </c>
      <c r="L255" s="112" t="str">
        <f t="shared" si="53"/>
        <v/>
      </c>
      <c r="M255" s="112" t="str">
        <f t="shared" si="53"/>
        <v/>
      </c>
      <c r="N255" s="112" t="str">
        <f t="shared" si="53"/>
        <v/>
      </c>
      <c r="O255" s="112" t="str">
        <f t="shared" si="53"/>
        <v xml:space="preserve">―     </v>
      </c>
    </row>
    <row r="256" spans="1:15" ht="16.5" customHeight="1" x14ac:dyDescent="0.15">
      <c r="A256" s="243"/>
      <c r="B256" s="164" t="s">
        <v>21</v>
      </c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3">
        <f>SUM(C256:N256)</f>
        <v>0</v>
      </c>
    </row>
    <row r="257" spans="1:15" ht="16.5" customHeight="1" x14ac:dyDescent="0.15">
      <c r="A257" s="243"/>
      <c r="B257" s="166" t="s">
        <v>155</v>
      </c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>
        <f t="shared" ref="O257:O265" si="54">SUM(C257:N257)</f>
        <v>0</v>
      </c>
    </row>
    <row r="258" spans="1:15" ht="16.5" customHeight="1" x14ac:dyDescent="0.15">
      <c r="A258" s="243"/>
      <c r="B258" s="167" t="s">
        <v>156</v>
      </c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>
        <f t="shared" si="54"/>
        <v>0</v>
      </c>
    </row>
    <row r="259" spans="1:15" ht="16.5" customHeight="1" x14ac:dyDescent="0.15">
      <c r="A259" s="243"/>
      <c r="B259" s="166" t="s">
        <v>26</v>
      </c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>
        <f t="shared" si="54"/>
        <v>0</v>
      </c>
    </row>
    <row r="260" spans="1:15" ht="16.5" customHeight="1" x14ac:dyDescent="0.15">
      <c r="A260" s="243"/>
      <c r="B260" s="166" t="s">
        <v>66</v>
      </c>
      <c r="C260" s="106"/>
      <c r="D260" s="105"/>
      <c r="E260" s="105"/>
      <c r="F260" s="105"/>
      <c r="G260" s="105"/>
      <c r="H260" s="105"/>
      <c r="I260" s="106"/>
      <c r="J260" s="106"/>
      <c r="K260" s="106"/>
      <c r="L260" s="106"/>
      <c r="M260" s="106"/>
      <c r="N260" s="106"/>
      <c r="O260" s="105">
        <f t="shared" si="54"/>
        <v>0</v>
      </c>
    </row>
    <row r="261" spans="1:15" ht="16.5" customHeight="1" x14ac:dyDescent="0.15">
      <c r="A261" s="243"/>
      <c r="B261" s="166" t="s">
        <v>22</v>
      </c>
      <c r="C261" s="105"/>
      <c r="D261" s="105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>
        <f t="shared" si="54"/>
        <v>0</v>
      </c>
    </row>
    <row r="262" spans="1:15" ht="16.5" customHeight="1" x14ac:dyDescent="0.15">
      <c r="A262" s="243"/>
      <c r="B262" s="166" t="s">
        <v>67</v>
      </c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>
        <f t="shared" si="54"/>
        <v>0</v>
      </c>
    </row>
    <row r="263" spans="1:15" ht="16.5" customHeight="1" x14ac:dyDescent="0.15">
      <c r="A263" s="243"/>
      <c r="B263" s="166" t="s">
        <v>23</v>
      </c>
      <c r="C263" s="105"/>
      <c r="D263" s="105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>
        <f t="shared" si="54"/>
        <v>0</v>
      </c>
    </row>
    <row r="264" spans="1:15" ht="16.5" customHeight="1" x14ac:dyDescent="0.15">
      <c r="A264" s="243"/>
      <c r="B264" s="166" t="s">
        <v>157</v>
      </c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>
        <f t="shared" si="54"/>
        <v>0</v>
      </c>
    </row>
    <row r="265" spans="1:15" ht="16.5" customHeight="1" x14ac:dyDescent="0.15">
      <c r="A265" s="243"/>
      <c r="B265" s="166" t="s">
        <v>158</v>
      </c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>
        <f t="shared" si="54"/>
        <v>0</v>
      </c>
    </row>
    <row r="266" spans="1:15" ht="16.5" customHeight="1" x14ac:dyDescent="0.15">
      <c r="A266" s="243"/>
      <c r="B266" s="166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</row>
    <row r="267" spans="1:15" ht="16.5" customHeight="1" thickBot="1" x14ac:dyDescent="0.2">
      <c r="A267" s="243"/>
      <c r="B267" s="166" t="s">
        <v>161</v>
      </c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68">
        <f>SUM(C267:N267)</f>
        <v>0</v>
      </c>
    </row>
    <row r="268" spans="1:15" ht="16.5" customHeight="1" thickTop="1" x14ac:dyDescent="0.15">
      <c r="A268" s="243"/>
      <c r="B268" s="169" t="s">
        <v>159</v>
      </c>
      <c r="C268" s="110"/>
      <c r="D268" s="110"/>
      <c r="E268" s="110"/>
      <c r="F268" s="110"/>
      <c r="G268" s="110"/>
      <c r="H268" s="110" t="str">
        <f t="shared" ref="H268:M268" si="55">IF(H256="","",H256-SUM(H257:H264))</f>
        <v/>
      </c>
      <c r="I268" s="110" t="str">
        <f t="shared" si="55"/>
        <v/>
      </c>
      <c r="J268" s="110" t="str">
        <f t="shared" si="55"/>
        <v/>
      </c>
      <c r="K268" s="110" t="str">
        <f t="shared" si="55"/>
        <v/>
      </c>
      <c r="L268" s="110" t="str">
        <f t="shared" si="55"/>
        <v/>
      </c>
      <c r="M268" s="110" t="str">
        <f t="shared" si="55"/>
        <v/>
      </c>
      <c r="N268" s="110" t="str">
        <f>IF(N256="","",N256-SUM(N257:N264))</f>
        <v/>
      </c>
      <c r="O268" s="110">
        <f>IF(O256="","",O256-SUM(O257:O264))</f>
        <v>0</v>
      </c>
    </row>
    <row r="269" spans="1:15" ht="16.5" customHeight="1" thickBot="1" x14ac:dyDescent="0.2">
      <c r="A269" s="244"/>
      <c r="B269" s="170" t="s">
        <v>160</v>
      </c>
      <c r="C269" s="112"/>
      <c r="D269" s="112"/>
      <c r="E269" s="112"/>
      <c r="F269" s="112"/>
      <c r="G269" s="112"/>
      <c r="H269" s="112" t="str">
        <f t="shared" ref="H269:O269" si="56">IF(H256="","",IF(H256=0,"―     ",H268/H256))</f>
        <v/>
      </c>
      <c r="I269" s="112" t="str">
        <f t="shared" si="56"/>
        <v/>
      </c>
      <c r="J269" s="112" t="str">
        <f t="shared" si="56"/>
        <v/>
      </c>
      <c r="K269" s="112" t="str">
        <f t="shared" si="56"/>
        <v/>
      </c>
      <c r="L269" s="112" t="str">
        <f t="shared" si="56"/>
        <v/>
      </c>
      <c r="M269" s="112" t="str">
        <f t="shared" si="56"/>
        <v/>
      </c>
      <c r="N269" s="112" t="str">
        <f t="shared" si="56"/>
        <v/>
      </c>
      <c r="O269" s="112" t="str">
        <f t="shared" si="56"/>
        <v xml:space="preserve">―     </v>
      </c>
    </row>
    <row r="270" spans="1:15" ht="16.5" customHeight="1" x14ac:dyDescent="0.15">
      <c r="A270" s="243" t="s">
        <v>211</v>
      </c>
      <c r="B270" s="164" t="s">
        <v>21</v>
      </c>
      <c r="C270" s="102">
        <v>9891377</v>
      </c>
      <c r="D270" s="102">
        <v>12518259</v>
      </c>
      <c r="E270" s="102">
        <v>13454397</v>
      </c>
      <c r="F270" s="102">
        <v>13055230</v>
      </c>
      <c r="G270" s="102">
        <v>15919422</v>
      </c>
      <c r="H270" s="102">
        <v>13914333</v>
      </c>
      <c r="I270" s="102">
        <v>15235326</v>
      </c>
      <c r="J270" s="102">
        <v>15147205</v>
      </c>
      <c r="K270" s="102">
        <v>14852514</v>
      </c>
      <c r="L270" s="102">
        <v>15458118</v>
      </c>
      <c r="M270" s="102">
        <v>14966131</v>
      </c>
      <c r="N270" s="102">
        <v>13288113</v>
      </c>
      <c r="O270" s="103"/>
    </row>
    <row r="271" spans="1:15" ht="16.5" customHeight="1" x14ac:dyDescent="0.15">
      <c r="A271" s="243"/>
      <c r="B271" s="166" t="s">
        <v>155</v>
      </c>
      <c r="C271" s="105">
        <v>5569562</v>
      </c>
      <c r="D271" s="105">
        <v>7313392</v>
      </c>
      <c r="E271" s="105">
        <v>7625128</v>
      </c>
      <c r="F271" s="105">
        <v>7346862</v>
      </c>
      <c r="G271" s="105">
        <v>9160324</v>
      </c>
      <c r="H271" s="105">
        <v>7849565</v>
      </c>
      <c r="I271" s="105">
        <v>8958281</v>
      </c>
      <c r="J271" s="105">
        <v>8250593</v>
      </c>
      <c r="K271" s="105">
        <v>8411384</v>
      </c>
      <c r="L271" s="105">
        <v>8640558</v>
      </c>
      <c r="M271" s="105">
        <v>8662949</v>
      </c>
      <c r="N271" s="105">
        <v>7607104</v>
      </c>
      <c r="O271" s="105"/>
    </row>
    <row r="272" spans="1:15" ht="16.5" customHeight="1" x14ac:dyDescent="0.15">
      <c r="A272" s="243"/>
      <c r="B272" s="167" t="s">
        <v>156</v>
      </c>
      <c r="C272" s="105">
        <v>55000</v>
      </c>
      <c r="D272" s="105">
        <v>54500</v>
      </c>
      <c r="E272" s="105">
        <v>77800</v>
      </c>
      <c r="F272" s="105">
        <v>84100</v>
      </c>
      <c r="G272" s="105">
        <v>99600</v>
      </c>
      <c r="H272" s="105">
        <v>116400</v>
      </c>
      <c r="I272" s="105">
        <v>152550</v>
      </c>
      <c r="J272" s="105">
        <v>145000</v>
      </c>
      <c r="K272" s="105">
        <v>200110</v>
      </c>
      <c r="L272" s="105">
        <v>173300</v>
      </c>
      <c r="M272" s="105">
        <v>206750</v>
      </c>
      <c r="N272" s="105">
        <v>227900</v>
      </c>
      <c r="O272" s="105"/>
    </row>
    <row r="273" spans="1:15" ht="16.5" customHeight="1" x14ac:dyDescent="0.15">
      <c r="A273" s="243"/>
      <c r="B273" s="166" t="s">
        <v>26</v>
      </c>
      <c r="C273" s="105">
        <v>224940</v>
      </c>
      <c r="D273" s="105">
        <v>272290</v>
      </c>
      <c r="E273" s="105">
        <v>322630</v>
      </c>
      <c r="F273" s="105">
        <v>339610</v>
      </c>
      <c r="G273" s="105">
        <v>349620</v>
      </c>
      <c r="H273" s="105">
        <v>337050</v>
      </c>
      <c r="I273" s="105">
        <v>368370</v>
      </c>
      <c r="J273" s="105">
        <v>350680</v>
      </c>
      <c r="K273" s="105">
        <v>341800</v>
      </c>
      <c r="L273" s="105">
        <v>354370</v>
      </c>
      <c r="M273" s="105">
        <v>356970</v>
      </c>
      <c r="N273" s="105">
        <v>310040</v>
      </c>
      <c r="O273" s="105"/>
    </row>
    <row r="274" spans="1:15" ht="16.5" customHeight="1" x14ac:dyDescent="0.15">
      <c r="A274" s="243"/>
      <c r="B274" s="166" t="s">
        <v>66</v>
      </c>
      <c r="C274" s="106">
        <v>19085</v>
      </c>
      <c r="D274" s="106">
        <v>59765</v>
      </c>
      <c r="E274" s="106">
        <v>321646</v>
      </c>
      <c r="F274" s="106">
        <v>360562</v>
      </c>
      <c r="G274" s="106">
        <v>221836</v>
      </c>
      <c r="H274" s="106">
        <v>278729</v>
      </c>
      <c r="I274" s="106">
        <v>249806</v>
      </c>
      <c r="J274" s="106">
        <v>251578</v>
      </c>
      <c r="K274" s="106">
        <v>304968</v>
      </c>
      <c r="L274" s="106">
        <v>247309</v>
      </c>
      <c r="M274" s="106">
        <v>326676</v>
      </c>
      <c r="N274" s="106">
        <v>314166</v>
      </c>
      <c r="O274" s="105"/>
    </row>
    <row r="275" spans="1:15" ht="16.5" customHeight="1" x14ac:dyDescent="0.15">
      <c r="A275" s="243"/>
      <c r="B275" s="166" t="s">
        <v>22</v>
      </c>
      <c r="C275" s="105">
        <v>281630</v>
      </c>
      <c r="D275" s="105">
        <v>308338</v>
      </c>
      <c r="E275" s="105">
        <v>320091</v>
      </c>
      <c r="F275" s="105">
        <v>323157</v>
      </c>
      <c r="G275" s="105">
        <v>379878</v>
      </c>
      <c r="H275" s="105">
        <v>387032</v>
      </c>
      <c r="I275" s="105">
        <v>426890</v>
      </c>
      <c r="J275" s="105">
        <v>432306</v>
      </c>
      <c r="K275" s="105">
        <v>440993</v>
      </c>
      <c r="L275" s="105">
        <v>448147</v>
      </c>
      <c r="M275" s="105">
        <v>435168</v>
      </c>
      <c r="N275" s="105">
        <v>403486</v>
      </c>
      <c r="O275" s="105"/>
    </row>
    <row r="276" spans="1:15" ht="16.5" customHeight="1" x14ac:dyDescent="0.15">
      <c r="A276" s="243"/>
      <c r="B276" s="166" t="s">
        <v>67</v>
      </c>
      <c r="C276" s="105">
        <v>46206</v>
      </c>
      <c r="D276" s="105">
        <v>45133</v>
      </c>
      <c r="E276" s="105">
        <v>43657</v>
      </c>
      <c r="F276" s="105">
        <v>42181</v>
      </c>
      <c r="G276" s="105">
        <v>48003</v>
      </c>
      <c r="H276" s="105">
        <v>47675</v>
      </c>
      <c r="I276" s="105">
        <v>50381</v>
      </c>
      <c r="J276" s="105">
        <v>51086</v>
      </c>
      <c r="K276" s="105">
        <v>49610</v>
      </c>
      <c r="L276" s="105">
        <v>51004</v>
      </c>
      <c r="M276" s="105">
        <v>48921</v>
      </c>
      <c r="N276" s="105">
        <v>45395</v>
      </c>
      <c r="O276" s="105"/>
    </row>
    <row r="277" spans="1:15" ht="16.5" customHeight="1" x14ac:dyDescent="0.15">
      <c r="A277" s="243"/>
      <c r="B277" s="166" t="s">
        <v>23</v>
      </c>
      <c r="C277" s="105">
        <v>500871</v>
      </c>
      <c r="D277" s="105">
        <v>552111</v>
      </c>
      <c r="E277" s="105">
        <v>573156</v>
      </c>
      <c r="F277" s="105">
        <v>578646</v>
      </c>
      <c r="G277" s="105">
        <v>680211</v>
      </c>
      <c r="H277" s="105">
        <v>693021</v>
      </c>
      <c r="I277" s="105">
        <v>764391</v>
      </c>
      <c r="J277" s="105">
        <v>774090</v>
      </c>
      <c r="K277" s="105">
        <v>789645</v>
      </c>
      <c r="L277" s="105">
        <v>802455</v>
      </c>
      <c r="M277" s="105">
        <v>779214</v>
      </c>
      <c r="N277" s="105">
        <v>722484</v>
      </c>
      <c r="O277" s="105"/>
    </row>
    <row r="278" spans="1:15" ht="16.5" customHeight="1" x14ac:dyDescent="0.15">
      <c r="A278" s="243"/>
      <c r="B278" s="166" t="s">
        <v>157</v>
      </c>
      <c r="C278" s="105">
        <v>31660</v>
      </c>
      <c r="D278" s="105">
        <v>40712</v>
      </c>
      <c r="E278" s="105">
        <v>45412</v>
      </c>
      <c r="F278" s="105">
        <v>44588</v>
      </c>
      <c r="G278" s="105">
        <v>54286</v>
      </c>
      <c r="H278" s="105">
        <v>47394</v>
      </c>
      <c r="I278" s="105">
        <v>53930</v>
      </c>
      <c r="J278" s="105">
        <v>70024</v>
      </c>
      <c r="K278" s="105">
        <v>72491</v>
      </c>
      <c r="L278" s="105">
        <v>73126</v>
      </c>
      <c r="M278" s="105">
        <v>74580</v>
      </c>
      <c r="N278" s="105">
        <v>66096</v>
      </c>
      <c r="O278" s="105"/>
    </row>
    <row r="279" spans="1:15" ht="16.5" customHeight="1" x14ac:dyDescent="0.15">
      <c r="A279" s="243"/>
      <c r="B279" s="166" t="s">
        <v>158</v>
      </c>
      <c r="C279" s="105">
        <v>5868587</v>
      </c>
      <c r="D279" s="105">
        <v>7699947</v>
      </c>
      <c r="E279" s="105">
        <v>8347204</v>
      </c>
      <c r="F279" s="105">
        <v>8131134</v>
      </c>
      <c r="G279" s="105">
        <v>9831380</v>
      </c>
      <c r="H279" s="105">
        <v>8581744</v>
      </c>
      <c r="I279" s="105">
        <v>9729007</v>
      </c>
      <c r="J279" s="105">
        <v>8997851</v>
      </c>
      <c r="K279" s="105">
        <v>9263862</v>
      </c>
      <c r="L279" s="105">
        <v>9421757</v>
      </c>
      <c r="M279" s="105">
        <v>9558945</v>
      </c>
      <c r="N279" s="105">
        <v>8464810</v>
      </c>
      <c r="O279" s="105"/>
    </row>
    <row r="280" spans="1:15" ht="16.5" customHeight="1" x14ac:dyDescent="0.15">
      <c r="A280" s="243"/>
      <c r="B280" s="166"/>
      <c r="C280" s="107">
        <v>43</v>
      </c>
      <c r="D280" s="107">
        <v>53</v>
      </c>
      <c r="E280" s="107">
        <v>54</v>
      </c>
      <c r="F280" s="107">
        <v>56</v>
      </c>
      <c r="G280" s="107">
        <v>60</v>
      </c>
      <c r="H280" s="107">
        <v>58</v>
      </c>
      <c r="I280" s="107">
        <v>62</v>
      </c>
      <c r="J280" s="107">
        <v>60</v>
      </c>
      <c r="K280" s="107">
        <v>57</v>
      </c>
      <c r="L280" s="107">
        <v>60</v>
      </c>
      <c r="M280" s="107">
        <v>59</v>
      </c>
      <c r="N280" s="107">
        <v>56</v>
      </c>
      <c r="O280" s="107"/>
    </row>
    <row r="281" spans="1:15" ht="16.5" customHeight="1" thickBot="1" x14ac:dyDescent="0.2">
      <c r="A281" s="243"/>
      <c r="B281" s="166" t="s">
        <v>170</v>
      </c>
      <c r="C281" s="107">
        <v>33</v>
      </c>
      <c r="D281" s="107">
        <v>35</v>
      </c>
      <c r="E281" s="107">
        <v>45</v>
      </c>
      <c r="F281" s="107">
        <v>42</v>
      </c>
      <c r="G281" s="107">
        <v>29</v>
      </c>
      <c r="H281" s="107">
        <v>40</v>
      </c>
      <c r="I281" s="107">
        <v>67</v>
      </c>
      <c r="J281" s="107">
        <v>34</v>
      </c>
      <c r="K281" s="107">
        <v>32</v>
      </c>
      <c r="L281" s="107">
        <v>42</v>
      </c>
      <c r="M281" s="107">
        <v>55</v>
      </c>
      <c r="N281" s="107">
        <v>42</v>
      </c>
      <c r="O281" s="168"/>
    </row>
    <row r="282" spans="1:15" ht="16.5" customHeight="1" thickTop="1" x14ac:dyDescent="0.15">
      <c r="A282" s="243"/>
      <c r="B282" s="169" t="s">
        <v>159</v>
      </c>
      <c r="C282" s="110">
        <v>3162423</v>
      </c>
      <c r="D282" s="110">
        <v>3872018</v>
      </c>
      <c r="E282" s="110">
        <v>4124877</v>
      </c>
      <c r="F282" s="110">
        <v>3935524</v>
      </c>
      <c r="G282" s="110">
        <v>4925664</v>
      </c>
      <c r="H282" s="110">
        <v>4157467</v>
      </c>
      <c r="I282" s="110">
        <v>4210727</v>
      </c>
      <c r="J282" s="110">
        <v>4821848</v>
      </c>
      <c r="K282" s="110">
        <v>4241513</v>
      </c>
      <c r="L282" s="110">
        <v>4667849</v>
      </c>
      <c r="M282" s="110">
        <v>4074903</v>
      </c>
      <c r="N282" s="110">
        <v>3591442</v>
      </c>
      <c r="O282" s="110"/>
    </row>
    <row r="283" spans="1:15" ht="16.5" customHeight="1" thickBot="1" x14ac:dyDescent="0.2">
      <c r="A283" s="244"/>
      <c r="B283" s="170" t="s">
        <v>160</v>
      </c>
      <c r="C283" s="112">
        <v>0.31971514178460692</v>
      </c>
      <c r="D283" s="112">
        <v>0.30930962524421329</v>
      </c>
      <c r="E283" s="112">
        <v>0.30658207870631438</v>
      </c>
      <c r="F283" s="112">
        <v>0.30145190854546416</v>
      </c>
      <c r="G283" s="112">
        <v>0.3094122387106768</v>
      </c>
      <c r="H283" s="112">
        <v>0.29879024743766014</v>
      </c>
      <c r="I283" s="112">
        <v>0.27637918610996576</v>
      </c>
      <c r="J283" s="112">
        <v>0.3183325240531174</v>
      </c>
      <c r="K283" s="112">
        <v>0.28557542514351442</v>
      </c>
      <c r="L283" s="112">
        <v>0.30196748401066675</v>
      </c>
      <c r="M283" s="112">
        <v>0.27227497875035306</v>
      </c>
      <c r="N283" s="112">
        <v>0.27027479371977042</v>
      </c>
      <c r="O283" s="112"/>
    </row>
    <row r="284" spans="1:15" x14ac:dyDescent="0.15">
      <c r="C284" s="179"/>
    </row>
    <row r="285" spans="1:15" x14ac:dyDescent="0.15">
      <c r="C285" s="179"/>
      <c r="H285" s="165" t="s">
        <v>183</v>
      </c>
    </row>
    <row r="286" spans="1:15" x14ac:dyDescent="0.15">
      <c r="C286" s="179"/>
    </row>
    <row r="287" spans="1:15" x14ac:dyDescent="0.15">
      <c r="C287" s="179"/>
    </row>
    <row r="288" spans="1:15" x14ac:dyDescent="0.15">
      <c r="C288" s="179"/>
    </row>
    <row r="289" spans="3:3" x14ac:dyDescent="0.15">
      <c r="C289" s="179"/>
    </row>
    <row r="290" spans="3:3" x14ac:dyDescent="0.15">
      <c r="C290" s="179"/>
    </row>
    <row r="291" spans="3:3" x14ac:dyDescent="0.15">
      <c r="C291" s="179"/>
    </row>
    <row r="292" spans="3:3" x14ac:dyDescent="0.15">
      <c r="C292" s="179"/>
    </row>
    <row r="293" spans="3:3" x14ac:dyDescent="0.15">
      <c r="C293" s="179"/>
    </row>
    <row r="294" spans="3:3" x14ac:dyDescent="0.15">
      <c r="C294" s="179"/>
    </row>
    <row r="295" spans="3:3" x14ac:dyDescent="0.15">
      <c r="C295" s="179"/>
    </row>
    <row r="296" spans="3:3" x14ac:dyDescent="0.15">
      <c r="C296" s="179"/>
    </row>
    <row r="297" spans="3:3" x14ac:dyDescent="0.15">
      <c r="C297" s="179"/>
    </row>
    <row r="298" spans="3:3" x14ac:dyDescent="0.15">
      <c r="C298" s="179"/>
    </row>
    <row r="385" ht="16.5" customHeight="1" x14ac:dyDescent="0.15"/>
    <row r="386" ht="16.5" customHeight="1" x14ac:dyDescent="0.15"/>
    <row r="387" ht="16.5" customHeight="1" x14ac:dyDescent="0.15"/>
    <row r="388" ht="16.5" customHeight="1" x14ac:dyDescent="0.15"/>
    <row r="389" ht="16.5" customHeight="1" x14ac:dyDescent="0.15"/>
    <row r="390" ht="16.5" customHeight="1" x14ac:dyDescent="0.15"/>
    <row r="391" ht="16.5" customHeight="1" x14ac:dyDescent="0.15"/>
    <row r="392" ht="16.5" customHeight="1" x14ac:dyDescent="0.15"/>
    <row r="393" ht="16.5" customHeight="1" x14ac:dyDescent="0.15"/>
    <row r="394" ht="16.5" customHeight="1" x14ac:dyDescent="0.15"/>
    <row r="395" ht="16.5" customHeight="1" x14ac:dyDescent="0.15"/>
    <row r="396" ht="16.5" customHeight="1" x14ac:dyDescent="0.15"/>
    <row r="397" ht="16.5" customHeight="1" x14ac:dyDescent="0.15"/>
    <row r="398" ht="16.5" customHeight="1" x14ac:dyDescent="0.15"/>
    <row r="399" ht="16.5" customHeight="1" x14ac:dyDescent="0.15"/>
    <row r="400" ht="16.5" customHeight="1" x14ac:dyDescent="0.15"/>
  </sheetData>
  <autoFilter ref="A3:O400" xr:uid="{00000000-0009-0000-0000-000008000000}"/>
  <mergeCells count="21">
    <mergeCell ref="A158:A171"/>
    <mergeCell ref="A1:O1"/>
    <mergeCell ref="A4:A17"/>
    <mergeCell ref="A32:A45"/>
    <mergeCell ref="A46:A59"/>
    <mergeCell ref="A60:A73"/>
    <mergeCell ref="A74:A87"/>
    <mergeCell ref="A88:A101"/>
    <mergeCell ref="A102:A115"/>
    <mergeCell ref="A116:A129"/>
    <mergeCell ref="A130:A143"/>
    <mergeCell ref="A144:A157"/>
    <mergeCell ref="A18:A31"/>
    <mergeCell ref="A172:A185"/>
    <mergeCell ref="A186:A199"/>
    <mergeCell ref="A200:A213"/>
    <mergeCell ref="A214:A227"/>
    <mergeCell ref="A270:A283"/>
    <mergeCell ref="A228:A241"/>
    <mergeCell ref="A242:A255"/>
    <mergeCell ref="A256:A269"/>
  </mergeCells>
  <phoneticPr fontId="3"/>
  <pageMargins left="0.19685039370078741" right="0.19685039370078741" top="0.19685039370078741" bottom="0.19685039370078741" header="0.19685039370078741" footer="0.19685039370078741"/>
  <pageSetup paperSize="9" scale="87" fitToHeight="58" orientation="landscape" r:id="rId1"/>
  <headerFooter alignWithMargins="0">
    <oddHeader>&amp;R&amp;D  &amp;T</oddHeader>
    <oddFooter>&amp;C&amp;P/&amp;N&amp;R㈱タスクフォース</oddFooter>
  </headerFooter>
  <rowBreaks count="4" manualBreakCount="4">
    <brk id="73" max="14" man="1"/>
    <brk id="143" max="14" man="1"/>
    <brk id="185" max="14" man="1"/>
    <brk id="26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28</vt:i4>
      </vt:variant>
    </vt:vector>
  </HeadingPairs>
  <TitlesOfParts>
    <vt:vector size="47" baseType="lpstr">
      <vt:lpstr>合計</vt:lpstr>
      <vt:lpstr>①</vt:lpstr>
      <vt:lpstr>②</vt:lpstr>
      <vt:lpstr>③</vt:lpstr>
      <vt:lpstr>④</vt:lpstr>
      <vt:lpstr>⑤</vt:lpstr>
      <vt:lpstr>⑥</vt:lpstr>
      <vt:lpstr>H</vt:lpstr>
      <vt:lpstr>大1</vt:lpstr>
      <vt:lpstr>大2</vt:lpstr>
      <vt:lpstr>大3</vt:lpstr>
      <vt:lpstr>名</vt:lpstr>
      <vt:lpstr>東</vt:lpstr>
      <vt:lpstr>k</vt:lpstr>
      <vt:lpstr>李</vt:lpstr>
      <vt:lpstr>項目の説明（営業部課）</vt:lpstr>
      <vt:lpstr>項目の説明（本社）</vt:lpstr>
      <vt:lpstr>Sheet1</vt:lpstr>
      <vt:lpstr>Sheet2</vt:lpstr>
      <vt:lpstr>①!Print_Area</vt:lpstr>
      <vt:lpstr>④!Print_Area</vt:lpstr>
      <vt:lpstr>⑤!Print_Area</vt:lpstr>
      <vt:lpstr>⑥!Print_Area</vt:lpstr>
      <vt:lpstr>H!Print_Area</vt:lpstr>
      <vt:lpstr>k!Print_Area</vt:lpstr>
      <vt:lpstr>合計!Print_Area</vt:lpstr>
      <vt:lpstr>大1!Print_Area</vt:lpstr>
      <vt:lpstr>大2!Print_Area</vt:lpstr>
      <vt:lpstr>大3!Print_Area</vt:lpstr>
      <vt:lpstr>東!Print_Area</vt:lpstr>
      <vt:lpstr>名!Print_Area</vt:lpstr>
      <vt:lpstr>李!Print_Area</vt:lpstr>
      <vt:lpstr>①!Print_Titles</vt:lpstr>
      <vt:lpstr>②!Print_Titles</vt:lpstr>
      <vt:lpstr>③!Print_Titles</vt:lpstr>
      <vt:lpstr>④!Print_Titles</vt:lpstr>
      <vt:lpstr>⑤!Print_Titles</vt:lpstr>
      <vt:lpstr>⑥!Print_Titles</vt:lpstr>
      <vt:lpstr>H!Print_Titles</vt:lpstr>
      <vt:lpstr>k!Print_Titles</vt:lpstr>
      <vt:lpstr>合計!Print_Titles</vt:lpstr>
      <vt:lpstr>大1!Print_Titles</vt:lpstr>
      <vt:lpstr>大2!Print_Titles</vt:lpstr>
      <vt:lpstr>大3!Print_Titles</vt:lpstr>
      <vt:lpstr>東!Print_Titles</vt:lpstr>
      <vt:lpstr>名!Print_Titles</vt:lpstr>
      <vt:lpstr>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aop11</cp:lastModifiedBy>
  <cp:lastPrinted>2023-03-09T08:52:24Z</cp:lastPrinted>
  <dcterms:created xsi:type="dcterms:W3CDTF">2012-02-10T05:44:27Z</dcterms:created>
  <dcterms:modified xsi:type="dcterms:W3CDTF">2023-03-28T04:24:05Z</dcterms:modified>
</cp:coreProperties>
</file>