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kazawashigeaki/Desktop/OsakaU TPL data/関西メディカル　イヌリン検査/2020.10.21～/"/>
    </mc:Choice>
  </mc:AlternateContent>
  <xr:revisionPtr revIDLastSave="0" documentId="13_ncr:1_{B4537232-4A7B-9C43-B3E5-A6AE47DEF0B2}" xr6:coauthVersionLast="47" xr6:coauthVersionMax="47" xr10:uidLastSave="{00000000-0000-0000-0000-000000000000}"/>
  <bookViews>
    <workbookView xWindow="48680" yWindow="660" windowWidth="25520" windowHeight="187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K7" i="1"/>
  <c r="K8" i="1" s="1"/>
  <c r="K3" i="1"/>
  <c r="K5" i="1" s="1"/>
  <c r="K9" i="1" l="1"/>
  <c r="K10" i="1"/>
  <c r="K6" i="1"/>
  <c r="K4" i="1"/>
  <c r="B15" i="1"/>
  <c r="B28" i="2" l="1"/>
  <c r="B26" i="2"/>
  <c r="B19" i="2"/>
  <c r="B18" i="2"/>
  <c r="B17" i="2"/>
  <c r="B16" i="2"/>
  <c r="B15" i="2"/>
  <c r="B14" i="2"/>
  <c r="B13" i="2"/>
  <c r="B12" i="2"/>
  <c r="B11" i="2"/>
  <c r="B10" i="2"/>
  <c r="B8" i="2"/>
  <c r="B7" i="2"/>
  <c r="B6" i="2"/>
  <c r="B5" i="2"/>
  <c r="B4" i="2"/>
  <c r="G30" i="1" l="1"/>
  <c r="K14" i="1"/>
  <c r="K17" i="1" s="1"/>
  <c r="G20" i="1" s="1"/>
  <c r="K13" i="1"/>
  <c r="K16" i="1" s="1"/>
  <c r="G19" i="1" s="1"/>
  <c r="K12" i="1"/>
  <c r="K15" i="1" s="1"/>
  <c r="G18" i="1" s="1"/>
  <c r="B14" i="1"/>
  <c r="B13" i="1"/>
  <c r="B9" i="2" s="1"/>
  <c r="M22" i="1"/>
  <c r="M20" i="1" l="1"/>
  <c r="K19" i="1"/>
  <c r="M19" i="1"/>
  <c r="K20" i="1"/>
  <c r="K21" i="1"/>
  <c r="M21" i="1"/>
  <c r="K22" i="1"/>
  <c r="G21" i="1"/>
  <c r="G22" i="1"/>
  <c r="B20" i="2" s="1"/>
  <c r="G23" i="1"/>
  <c r="B21" i="2" s="1"/>
  <c r="G24" i="1"/>
  <c r="B22" i="2" s="1"/>
  <c r="G29" i="1"/>
  <c r="K23" i="1" l="1"/>
  <c r="G25" i="1"/>
  <c r="B23" i="2" s="1"/>
  <c r="G27" i="1"/>
  <c r="G28" i="1" s="1"/>
  <c r="G26" i="1"/>
</calcChain>
</file>

<file path=xl/sharedStrings.xml><?xml version="1.0" encoding="utf-8"?>
<sst xmlns="http://schemas.openxmlformats.org/spreadsheetml/2006/main" count="177" uniqueCount="127">
  <si>
    <t>ID</t>
    <phoneticPr fontId="1"/>
  </si>
  <si>
    <t>生年月日</t>
    <rPh sb="0" eb="2">
      <t>セイネン</t>
    </rPh>
    <rPh sb="2" eb="4">
      <t>ガッピ</t>
    </rPh>
    <phoneticPr fontId="1"/>
  </si>
  <si>
    <t>患者名</t>
    <rPh sb="0" eb="3">
      <t>カンジャメイ</t>
    </rPh>
    <phoneticPr fontId="1"/>
  </si>
  <si>
    <t>性別</t>
    <rPh sb="0" eb="2">
      <t>セイベツ</t>
    </rPh>
    <phoneticPr fontId="1"/>
  </si>
  <si>
    <t>検査日</t>
    <rPh sb="0" eb="2">
      <t>ケンサ</t>
    </rPh>
    <rPh sb="2" eb="3">
      <t>ヒ</t>
    </rPh>
    <phoneticPr fontId="1"/>
  </si>
  <si>
    <t>身長</t>
    <rPh sb="0" eb="2">
      <t>シンチョウ</t>
    </rPh>
    <phoneticPr fontId="1"/>
  </si>
  <si>
    <t>cm</t>
    <phoneticPr fontId="1"/>
  </si>
  <si>
    <t>ml</t>
    <phoneticPr fontId="1"/>
  </si>
  <si>
    <t>体重</t>
    <rPh sb="0" eb="2">
      <t>タイジュウ</t>
    </rPh>
    <phoneticPr fontId="1"/>
  </si>
  <si>
    <t>収縮期血圧</t>
    <rPh sb="0" eb="5">
      <t>シュウシュクキシュウシュキケツアツ</t>
    </rPh>
    <phoneticPr fontId="1"/>
  </si>
  <si>
    <t>拡張期血圧</t>
    <rPh sb="0" eb="2">
      <t>カクチョウキ</t>
    </rPh>
    <phoneticPr fontId="1"/>
  </si>
  <si>
    <t>完全排尿時刻</t>
    <rPh sb="0" eb="2">
      <t>カンゼン</t>
    </rPh>
    <rPh sb="2" eb="4">
      <t>ハイニョウ</t>
    </rPh>
    <rPh sb="4" eb="6">
      <t>ジコク</t>
    </rPh>
    <phoneticPr fontId="1"/>
  </si>
  <si>
    <t>U1採取時刻</t>
    <rPh sb="2" eb="4">
      <t>サイシュ</t>
    </rPh>
    <rPh sb="4" eb="6">
      <t>ジコク</t>
    </rPh>
    <phoneticPr fontId="1"/>
  </si>
  <si>
    <t>尿量U1</t>
    <rPh sb="0" eb="1">
      <t>ニョウ</t>
    </rPh>
    <rPh sb="1" eb="2">
      <t>リョウ</t>
    </rPh>
    <phoneticPr fontId="1"/>
  </si>
  <si>
    <t>U2採取時刻</t>
    <rPh sb="2" eb="4">
      <t>サイシュ</t>
    </rPh>
    <rPh sb="4" eb="6">
      <t>ジコク</t>
    </rPh>
    <phoneticPr fontId="1"/>
  </si>
  <si>
    <t>尿量U2</t>
    <rPh sb="0" eb="1">
      <t>ニョウ</t>
    </rPh>
    <rPh sb="1" eb="2">
      <t>リョウ</t>
    </rPh>
    <phoneticPr fontId="1"/>
  </si>
  <si>
    <t>U3採取時刻</t>
    <rPh sb="2" eb="4">
      <t>サイシュ</t>
    </rPh>
    <rPh sb="4" eb="6">
      <t>ジコク</t>
    </rPh>
    <phoneticPr fontId="1"/>
  </si>
  <si>
    <t>尿量U3</t>
    <rPh sb="0" eb="1">
      <t>ニョウ</t>
    </rPh>
    <rPh sb="1" eb="2">
      <t>リョウ</t>
    </rPh>
    <phoneticPr fontId="1"/>
  </si>
  <si>
    <t>(身長、体重を入力すると自動で計算されます）</t>
    <rPh sb="0" eb="1">
      <t>シンチョ</t>
    </rPh>
    <phoneticPr fontId="1"/>
  </si>
  <si>
    <t>mg/dl</t>
  </si>
  <si>
    <t>年齢(才）</t>
    <rPh sb="0" eb="2">
      <t>ネンレイ</t>
    </rPh>
    <phoneticPr fontId="1"/>
  </si>
  <si>
    <t>検査前飲水量</t>
    <rPh sb="0" eb="2">
      <t>ケンサ</t>
    </rPh>
    <rPh sb="2" eb="3">
      <t>マエ</t>
    </rPh>
    <rPh sb="3" eb="5">
      <t>インスイ</t>
    </rPh>
    <rPh sb="5" eb="6">
      <t>リョウ</t>
    </rPh>
    <phoneticPr fontId="1"/>
  </si>
  <si>
    <t>kg</t>
    <phoneticPr fontId="1"/>
  </si>
  <si>
    <t>ml/min</t>
    <phoneticPr fontId="1"/>
  </si>
  <si>
    <t>min</t>
    <phoneticPr fontId="1"/>
  </si>
  <si>
    <t>Time(0-U1)</t>
    <phoneticPr fontId="1"/>
  </si>
  <si>
    <t>Time(U1-U2)</t>
    <phoneticPr fontId="1"/>
  </si>
  <si>
    <t>Time(U2-U3)</t>
    <phoneticPr fontId="1"/>
  </si>
  <si>
    <t>U1(ml/min)</t>
    <phoneticPr fontId="1"/>
  </si>
  <si>
    <t>U2(ml/min)</t>
    <phoneticPr fontId="1"/>
  </si>
  <si>
    <t>U3(ml/min)</t>
    <phoneticPr fontId="1"/>
  </si>
  <si>
    <t>血清S0</t>
    <rPh sb="0" eb="2">
      <t>ケッセイ</t>
    </rPh>
    <phoneticPr fontId="1"/>
  </si>
  <si>
    <t>血清S1</t>
    <phoneticPr fontId="1"/>
  </si>
  <si>
    <t>血清S2</t>
    <phoneticPr fontId="1"/>
  </si>
  <si>
    <t>血清S3</t>
    <phoneticPr fontId="1"/>
  </si>
  <si>
    <t>血清シスタチンC</t>
    <rPh sb="0" eb="2">
      <t>ケッセイ</t>
    </rPh>
    <phoneticPr fontId="1"/>
  </si>
  <si>
    <t>血清S0</t>
    <phoneticPr fontId="1"/>
  </si>
  <si>
    <t>Cin mean</t>
    <phoneticPr fontId="1"/>
  </si>
  <si>
    <t>Cin1</t>
    <phoneticPr fontId="1"/>
  </si>
  <si>
    <t>Cin2</t>
    <phoneticPr fontId="1"/>
  </si>
  <si>
    <t>Cin3</t>
    <phoneticPr fontId="1"/>
  </si>
  <si>
    <t>GFR</t>
    <phoneticPr fontId="1"/>
  </si>
  <si>
    <t>Cre</t>
    <phoneticPr fontId="1"/>
  </si>
  <si>
    <t>イヌリン濃度</t>
    <rPh sb="0" eb="2">
      <t>ノウド</t>
    </rPh>
    <phoneticPr fontId="1"/>
  </si>
  <si>
    <t>尿中タンパク定性</t>
    <rPh sb="0" eb="2">
      <t>ニョウチュウ</t>
    </rPh>
    <phoneticPr fontId="1"/>
  </si>
  <si>
    <t>尿中タンパク</t>
    <rPh sb="0" eb="1">
      <t>ニョウチュウ</t>
    </rPh>
    <phoneticPr fontId="1"/>
  </si>
  <si>
    <t>g/gCr</t>
    <phoneticPr fontId="1"/>
  </si>
  <si>
    <t>eGFR(JSN2009)</t>
    <phoneticPr fontId="1"/>
  </si>
  <si>
    <t>eGFR(JKDC2018)</t>
    <phoneticPr fontId="1"/>
  </si>
  <si>
    <t>Cys-GFR</t>
    <phoneticPr fontId="1"/>
  </si>
  <si>
    <t>体表面積 Du bois</t>
    <rPh sb="0" eb="2">
      <t>タイヒョウメンセキ</t>
    </rPh>
    <phoneticPr fontId="1"/>
  </si>
  <si>
    <t>体表面積 新谷式</t>
    <rPh sb="0" eb="2">
      <t>タイヒョウメンセキ</t>
    </rPh>
    <phoneticPr fontId="1"/>
  </si>
  <si>
    <t>体表面積 藤本式</t>
    <rPh sb="0" eb="2">
      <t>タイヒョウメンセキ</t>
    </rPh>
    <phoneticPr fontId="1"/>
  </si>
  <si>
    <t>GFR（体表面積補正）</t>
    <rPh sb="0" eb="4">
      <t>タイヒョウメンセキ</t>
    </rPh>
    <phoneticPr fontId="1"/>
  </si>
  <si>
    <t>eGFR2</t>
    <phoneticPr fontId="1"/>
  </si>
  <si>
    <t>eGFR3</t>
    <phoneticPr fontId="1"/>
  </si>
  <si>
    <t>eGFR4</t>
    <phoneticPr fontId="1"/>
  </si>
  <si>
    <t>eGFR0</t>
    <phoneticPr fontId="1"/>
  </si>
  <si>
    <t>eGFRJKDC2018</t>
    <phoneticPr fontId="1"/>
  </si>
  <si>
    <t>ml/min/1.73m2</t>
    <phoneticPr fontId="1"/>
  </si>
  <si>
    <t>尿中タンパク定量</t>
    <rPh sb="0" eb="2">
      <t>ニョウチュウ</t>
    </rPh>
    <phoneticPr fontId="1"/>
  </si>
  <si>
    <t>尿中Cre濃度</t>
    <rPh sb="0" eb="1">
      <t>ニョウリュウ</t>
    </rPh>
    <phoneticPr fontId="1"/>
  </si>
  <si>
    <t>mg/dL</t>
    <phoneticPr fontId="1"/>
  </si>
  <si>
    <t>検査目的</t>
    <rPh sb="0" eb="2">
      <t>ケンサ</t>
    </rPh>
    <phoneticPr fontId="1"/>
  </si>
  <si>
    <t>尿量U0</t>
    <rPh sb="0" eb="1">
      <t>ニョウ</t>
    </rPh>
    <rPh sb="1" eb="2">
      <t>リョウ</t>
    </rPh>
    <phoneticPr fontId="1"/>
  </si>
  <si>
    <t>test_day_cin</t>
  </si>
  <si>
    <t>d_height_cin</t>
  </si>
  <si>
    <t>d_weight_cin</t>
  </si>
  <si>
    <t>d_sbp_cin</t>
  </si>
  <si>
    <t>d_dbp_cin</t>
  </si>
  <si>
    <t>d_bsa_cin</t>
  </si>
  <si>
    <t>s1_cin</t>
  </si>
  <si>
    <t>s2_cin</t>
  </si>
  <si>
    <t>s3_cin</t>
  </si>
  <si>
    <t>u1_cin</t>
  </si>
  <si>
    <t>u2_cin</t>
  </si>
  <si>
    <t>u3_cin</t>
  </si>
  <si>
    <t>uv0_cin</t>
  </si>
  <si>
    <t>uv1_cin</t>
  </si>
  <si>
    <t>uv2_cin</t>
  </si>
  <si>
    <t>uv3_cin</t>
  </si>
  <si>
    <t>cin1</t>
  </si>
  <si>
    <t>cin2</t>
  </si>
  <si>
    <t>cin3</t>
  </si>
  <si>
    <t>cin_mean</t>
  </si>
  <si>
    <t>ccr24h</t>
  </si>
  <si>
    <t>uv24h</t>
  </si>
  <si>
    <t>d_cre_cin</t>
  </si>
  <si>
    <t>d_cre_24h_urine</t>
  </si>
  <si>
    <t>d_serum_cystatinec</t>
  </si>
  <si>
    <t>Variable / Field Name</t>
  </si>
  <si>
    <t>r_study_id</t>
  </si>
  <si>
    <t>redcap_event_name</t>
  </si>
  <si>
    <t>Record</t>
  </si>
  <si>
    <t>hospitalization_arm_1</t>
    <phoneticPr fontId="1"/>
  </si>
  <si>
    <t>尿潜血</t>
    <rPh sb="0" eb="1">
      <t>ニョウ</t>
    </rPh>
    <phoneticPr fontId="1"/>
  </si>
  <si>
    <t>尿中RBC</t>
    <rPh sb="0" eb="1">
      <t>ニョウリュウ</t>
    </rPh>
    <phoneticPr fontId="1"/>
  </si>
  <si>
    <t>/HPF</t>
    <phoneticPr fontId="1"/>
  </si>
  <si>
    <t>補正後 S1</t>
    <rPh sb="0" eb="2">
      <t>ホセイゴ</t>
    </rPh>
    <phoneticPr fontId="1"/>
  </si>
  <si>
    <t>補正後 S2</t>
    <rPh sb="0" eb="1">
      <t>ホセイゴ</t>
    </rPh>
    <phoneticPr fontId="1"/>
  </si>
  <si>
    <t>補正後 S3</t>
    <rPh sb="0" eb="1">
      <t>ホセイゴ</t>
    </rPh>
    <phoneticPr fontId="1"/>
  </si>
  <si>
    <t>補正後U1</t>
    <rPh sb="0" eb="2">
      <t>ホセイゴ</t>
    </rPh>
    <phoneticPr fontId="1"/>
  </si>
  <si>
    <t>補正後U2</t>
    <rPh sb="0" eb="2">
      <t>ホセイゴ</t>
    </rPh>
    <phoneticPr fontId="1"/>
  </si>
  <si>
    <t>補正後U3</t>
    <rPh sb="0" eb="2">
      <t>ホセイゴ</t>
    </rPh>
    <phoneticPr fontId="1"/>
  </si>
  <si>
    <t>日付は西暦でハイフン(-)で記載 , 緑の欄は自動計算されます　イヌリン濃度血清S0が２未満の場合は2と、尿中U0が５未満の場合は5と入力してください。</t>
    <rPh sb="0" eb="1">
      <t>ミドリ</t>
    </rPh>
    <phoneticPr fontId="1"/>
  </si>
  <si>
    <t>Post eGFR(JKDC2018)</t>
    <phoneticPr fontId="1"/>
  </si>
  <si>
    <t>尿中U0</t>
    <rPh sb="0" eb="1">
      <t>ナカ</t>
    </rPh>
    <phoneticPr fontId="1"/>
  </si>
  <si>
    <t>尿中U1</t>
    <rPh sb="0" eb="1">
      <t>ナカ</t>
    </rPh>
    <phoneticPr fontId="1"/>
  </si>
  <si>
    <t>尿中U2</t>
    <rPh sb="0" eb="1">
      <t>ナカ</t>
    </rPh>
    <phoneticPr fontId="1"/>
  </si>
  <si>
    <t>尿中U3</t>
    <rPh sb="0" eb="1">
      <t>ナカ</t>
    </rPh>
    <phoneticPr fontId="1"/>
  </si>
  <si>
    <t xml:space="preserve">イヌリン </t>
    <phoneticPr fontId="1"/>
  </si>
  <si>
    <t>依頼元</t>
    <rPh sb="0" eb="2">
      <t>イライ</t>
    </rPh>
    <phoneticPr fontId="1"/>
  </si>
  <si>
    <t>1.阪大</t>
    <rPh sb="0" eb="2">
      <t>ハンダイ</t>
    </rPh>
    <phoneticPr fontId="1"/>
  </si>
  <si>
    <t>2.府立</t>
    <rPh sb="0" eb="2">
      <t>フリツ</t>
    </rPh>
    <phoneticPr fontId="1"/>
  </si>
  <si>
    <t>3.住友</t>
    <rPh sb="0" eb="2">
      <t>スミトモ</t>
    </rPh>
    <phoneticPr fontId="1"/>
  </si>
  <si>
    <t>4.大阪医大</t>
    <rPh sb="0" eb="2">
      <t>オオサカ</t>
    </rPh>
    <phoneticPr fontId="1"/>
  </si>
  <si>
    <t>5.高槻</t>
    <rPh sb="0" eb="2">
      <t>タカツキ</t>
    </rPh>
    <phoneticPr fontId="1"/>
  </si>
  <si>
    <t>6.井上</t>
    <rPh sb="0" eb="2">
      <t>イノウエ</t>
    </rPh>
    <phoneticPr fontId="1"/>
  </si>
  <si>
    <t>7.その他</t>
    <rPh sb="0" eb="1">
      <t>タ</t>
    </rPh>
    <phoneticPr fontId="1"/>
  </si>
  <si>
    <t>管理No．167</t>
    <rPh sb="0" eb="2">
      <t>カンリ</t>
    </rPh>
    <phoneticPr fontId="1"/>
  </si>
  <si>
    <t>女性</t>
  </si>
  <si>
    <t>(-)</t>
  </si>
  <si>
    <t>(+-)</t>
  </si>
  <si>
    <t>0-1</t>
  </si>
  <si>
    <t>2.ドナー術後</t>
  </si>
  <si>
    <t>Y</t>
    <phoneticPr fontId="1"/>
  </si>
  <si>
    <t>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</si>
</sst>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"/>
    <numFmt numFmtId="177" formatCode="[$-409]hh:mm:ss\ AM/PM;@"/>
    <numFmt numFmtId="178" formatCode="0.0"/>
    <numFmt numFmtId="179" formatCode="0.0_ 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0" fillId="0" borderId="0" xfId="0" applyNumberFormat="1">
      <alignment vertical="center"/>
    </xf>
    <xf numFmtId="179" fontId="2" fillId="0" borderId="0" xfId="0" applyNumberFormat="1" applyFo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178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6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B8" sqref="B8:C8"/>
    </sheetView>
  </sheetViews>
  <sheetFormatPr baseColWidth="10" defaultColWidth="10.7109375" defaultRowHeight="24"/>
  <cols>
    <col min="1" max="1" width="17.28515625" style="1" customWidth="1"/>
    <col min="2" max="2" width="10.85546875" style="1" customWidth="1"/>
    <col min="3" max="3" width="8.7109375" style="1" customWidth="1"/>
    <col min="4" max="4" width="6" style="5" customWidth="1"/>
    <col min="5" max="5" width="8.85546875" style="1" customWidth="1"/>
    <col min="6" max="6" width="9.85546875" style="1" customWidth="1"/>
    <col min="7" max="7" width="11.5703125" style="10" customWidth="1"/>
    <col min="8" max="8" width="12.42578125" style="1" customWidth="1"/>
    <col min="9" max="9" width="10.42578125" style="1" customWidth="1"/>
    <col min="10" max="10" width="16.42578125" style="1" customWidth="1"/>
    <col min="11" max="11" width="13.42578125" style="1" bestFit="1" customWidth="1"/>
    <col min="12" max="12" width="17.42578125" style="1" customWidth="1"/>
    <col min="13" max="16384" width="10.7109375" style="1"/>
  </cols>
  <sheetData>
    <row r="1" spans="1:13" ht="24.75" customHeight="1">
      <c r="A1" s="57" t="s">
        <v>119</v>
      </c>
      <c r="B1" s="58"/>
      <c r="C1" s="58"/>
      <c r="D1" s="58"/>
      <c r="E1" s="58"/>
    </row>
    <row r="2" spans="1:13" ht="39" customHeight="1">
      <c r="A2" s="14" t="s">
        <v>110</v>
      </c>
      <c r="B2" s="1" t="s">
        <v>63</v>
      </c>
      <c r="C2" s="54" t="s">
        <v>124</v>
      </c>
      <c r="D2" s="54"/>
      <c r="E2" s="54"/>
      <c r="F2" s="1" t="s">
        <v>111</v>
      </c>
      <c r="G2" s="59" t="s">
        <v>118</v>
      </c>
      <c r="H2" s="59"/>
      <c r="I2" s="3"/>
    </row>
    <row r="3" spans="1:13" s="2" customFormat="1" ht="24" customHeight="1">
      <c r="A3" s="15" t="s">
        <v>4</v>
      </c>
      <c r="B3" s="61">
        <v>44016</v>
      </c>
      <c r="C3" s="61"/>
      <c r="D3" s="16"/>
      <c r="E3" s="60" t="s">
        <v>43</v>
      </c>
      <c r="F3" s="17" t="s">
        <v>36</v>
      </c>
      <c r="G3" s="18">
        <v>2</v>
      </c>
      <c r="H3" s="19" t="s">
        <v>19</v>
      </c>
      <c r="K3" s="2">
        <f>IF(G3&gt;2,G3,0)</f>
        <v>0</v>
      </c>
      <c r="M3" s="2" t="s">
        <v>112</v>
      </c>
    </row>
    <row r="4" spans="1:13" ht="24" customHeight="1">
      <c r="A4" s="15" t="s">
        <v>0</v>
      </c>
      <c r="B4" s="53" t="s">
        <v>126</v>
      </c>
      <c r="C4" s="53"/>
      <c r="D4" s="20"/>
      <c r="E4" s="60"/>
      <c r="F4" s="17" t="s">
        <v>32</v>
      </c>
      <c r="G4" s="21">
        <v>23</v>
      </c>
      <c r="H4" s="19" t="s">
        <v>19</v>
      </c>
      <c r="J4" s="1" t="s">
        <v>98</v>
      </c>
      <c r="K4" s="13">
        <f>G4-$K$3</f>
        <v>23</v>
      </c>
      <c r="M4" s="1" t="s">
        <v>113</v>
      </c>
    </row>
    <row r="5" spans="1:13" ht="24" customHeight="1">
      <c r="A5" s="15" t="s">
        <v>2</v>
      </c>
      <c r="B5" s="53" t="s">
        <v>125</v>
      </c>
      <c r="C5" s="53"/>
      <c r="D5" s="20"/>
      <c r="E5" s="60"/>
      <c r="F5" s="17" t="s">
        <v>33</v>
      </c>
      <c r="G5" s="21">
        <v>21.4</v>
      </c>
      <c r="H5" s="19" t="s">
        <v>19</v>
      </c>
      <c r="I5" s="3"/>
      <c r="J5" s="1" t="s">
        <v>99</v>
      </c>
      <c r="K5" s="13">
        <f t="shared" ref="K5:K6" si="0">G5-$K$3</f>
        <v>21.4</v>
      </c>
      <c r="M5" s="1" t="s">
        <v>114</v>
      </c>
    </row>
    <row r="6" spans="1:13" ht="24" customHeight="1">
      <c r="A6" s="15" t="s">
        <v>3</v>
      </c>
      <c r="B6" s="53" t="s">
        <v>120</v>
      </c>
      <c r="C6" s="53"/>
      <c r="D6" s="20"/>
      <c r="E6" s="60"/>
      <c r="F6" s="17" t="s">
        <v>34</v>
      </c>
      <c r="G6" s="21">
        <v>23.8</v>
      </c>
      <c r="H6" s="19" t="s">
        <v>19</v>
      </c>
      <c r="J6" s="1" t="s">
        <v>100</v>
      </c>
      <c r="K6" s="13">
        <f t="shared" si="0"/>
        <v>23.8</v>
      </c>
      <c r="M6" s="1" t="s">
        <v>115</v>
      </c>
    </row>
    <row r="7" spans="1:13" ht="24" customHeight="1">
      <c r="A7" s="15" t="s">
        <v>1</v>
      </c>
      <c r="B7" s="61">
        <v>29891</v>
      </c>
      <c r="C7" s="61"/>
      <c r="D7" s="16"/>
      <c r="E7" s="60"/>
      <c r="F7" s="17" t="s">
        <v>106</v>
      </c>
      <c r="G7" s="18">
        <v>5</v>
      </c>
      <c r="H7" s="19" t="s">
        <v>19</v>
      </c>
      <c r="K7" s="1">
        <f>IF(G7&gt;5,G7,0)</f>
        <v>0</v>
      </c>
      <c r="M7" s="1" t="s">
        <v>116</v>
      </c>
    </row>
    <row r="8" spans="1:13" ht="24" customHeight="1">
      <c r="A8" s="15" t="s">
        <v>20</v>
      </c>
      <c r="B8" s="62">
        <f>DATEDIF(B7,B3,"Y")</f>
        <v>38</v>
      </c>
      <c r="C8" s="62"/>
      <c r="D8" s="20"/>
      <c r="E8" s="60"/>
      <c r="F8" s="17" t="s">
        <v>107</v>
      </c>
      <c r="G8" s="22">
        <v>130.4</v>
      </c>
      <c r="H8" s="19" t="s">
        <v>19</v>
      </c>
      <c r="J8" s="1" t="s">
        <v>101</v>
      </c>
      <c r="K8" s="1">
        <f>G8-$K$7</f>
        <v>130.4</v>
      </c>
      <c r="M8" s="1" t="s">
        <v>117</v>
      </c>
    </row>
    <row r="9" spans="1:13" ht="24" customHeight="1">
      <c r="A9" s="15" t="s">
        <v>9</v>
      </c>
      <c r="B9" s="53">
        <v>107</v>
      </c>
      <c r="C9" s="53"/>
      <c r="D9" s="20"/>
      <c r="E9" s="60"/>
      <c r="F9" s="17" t="s">
        <v>108</v>
      </c>
      <c r="G9" s="22">
        <v>128.30000000000001</v>
      </c>
      <c r="H9" s="19" t="s">
        <v>19</v>
      </c>
      <c r="J9" s="1" t="s">
        <v>102</v>
      </c>
      <c r="K9" s="1">
        <f t="shared" ref="K9:K10" si="1">G9-$K$7</f>
        <v>128.30000000000001</v>
      </c>
      <c r="M9" s="1" t="s">
        <v>118</v>
      </c>
    </row>
    <row r="10" spans="1:13" ht="24" customHeight="1">
      <c r="A10" s="15" t="s">
        <v>10</v>
      </c>
      <c r="B10" s="53">
        <v>58</v>
      </c>
      <c r="C10" s="53"/>
      <c r="D10" s="20"/>
      <c r="E10" s="60"/>
      <c r="F10" s="17" t="s">
        <v>109</v>
      </c>
      <c r="G10" s="22">
        <v>133.9</v>
      </c>
      <c r="H10" s="19" t="s">
        <v>19</v>
      </c>
      <c r="J10" s="1" t="s">
        <v>103</v>
      </c>
      <c r="K10" s="1">
        <f t="shared" si="1"/>
        <v>133.9</v>
      </c>
    </row>
    <row r="11" spans="1:13" ht="24" customHeight="1">
      <c r="A11" s="15" t="s">
        <v>5</v>
      </c>
      <c r="B11" s="53">
        <v>143</v>
      </c>
      <c r="C11" s="53"/>
      <c r="D11" s="20" t="s">
        <v>6</v>
      </c>
      <c r="E11" s="32" t="s">
        <v>42</v>
      </c>
      <c r="F11" s="23" t="s">
        <v>31</v>
      </c>
      <c r="G11" s="22">
        <v>1</v>
      </c>
      <c r="H11" s="24" t="s">
        <v>19</v>
      </c>
    </row>
    <row r="12" spans="1:13" ht="24" customHeight="1">
      <c r="A12" s="15" t="s">
        <v>8</v>
      </c>
      <c r="B12" s="53">
        <v>47</v>
      </c>
      <c r="C12" s="53"/>
      <c r="D12" s="20" t="s">
        <v>22</v>
      </c>
      <c r="E12" s="32"/>
      <c r="F12" s="23" t="s">
        <v>32</v>
      </c>
      <c r="G12" s="22">
        <v>0.98</v>
      </c>
      <c r="H12" s="24" t="s">
        <v>19</v>
      </c>
      <c r="J12" s="7" t="s">
        <v>25</v>
      </c>
      <c r="K12" s="8">
        <f>MINUTE(B18-B17)</f>
        <v>31</v>
      </c>
      <c r="L12" s="1" t="s">
        <v>24</v>
      </c>
    </row>
    <row r="13" spans="1:13" ht="24" customHeight="1">
      <c r="A13" s="15" t="s">
        <v>50</v>
      </c>
      <c r="B13" s="56">
        <f>(B11^0.725)*(B12^0.425)*0.007184</f>
        <v>1.3478033777972314</v>
      </c>
      <c r="C13" s="56"/>
      <c r="D13" s="20"/>
      <c r="E13" s="32"/>
      <c r="F13" s="23" t="s">
        <v>33</v>
      </c>
      <c r="G13" s="22">
        <v>0.97</v>
      </c>
      <c r="H13" s="24" t="s">
        <v>19</v>
      </c>
      <c r="J13" s="7" t="s">
        <v>26</v>
      </c>
      <c r="K13" s="8">
        <f>MINUTE(B19-B18)</f>
        <v>31</v>
      </c>
      <c r="L13" s="1" t="s">
        <v>24</v>
      </c>
    </row>
    <row r="14" spans="1:13" ht="24" customHeight="1">
      <c r="A14" s="15" t="s">
        <v>51</v>
      </c>
      <c r="B14" s="56">
        <f>(B11^0.725)*(B12^0.425)*0.007358</f>
        <v>1.3804478360011174</v>
      </c>
      <c r="C14" s="56"/>
      <c r="D14" s="25"/>
      <c r="E14" s="32"/>
      <c r="F14" s="23" t="s">
        <v>34</v>
      </c>
      <c r="G14" s="22">
        <v>0.98</v>
      </c>
      <c r="H14" s="24" t="s">
        <v>19</v>
      </c>
      <c r="J14" s="7" t="s">
        <v>27</v>
      </c>
      <c r="K14" s="8">
        <f>MINUTE(B20-B19)</f>
        <v>28</v>
      </c>
      <c r="L14" s="1" t="s">
        <v>24</v>
      </c>
    </row>
    <row r="15" spans="1:13" ht="24" customHeight="1">
      <c r="A15" s="15" t="s">
        <v>52</v>
      </c>
      <c r="B15" s="56">
        <f>(B11^0.663)*(B12^0.444)*0.008883</f>
        <v>1.3181320013398532</v>
      </c>
      <c r="C15" s="56"/>
      <c r="D15" s="25"/>
      <c r="E15" s="32"/>
      <c r="F15" s="17" t="s">
        <v>107</v>
      </c>
      <c r="G15" s="22">
        <v>7.82</v>
      </c>
      <c r="H15" s="24" t="s">
        <v>19</v>
      </c>
      <c r="J15" s="1" t="s">
        <v>28</v>
      </c>
      <c r="K15" s="9">
        <f>B22/K12</f>
        <v>6.064516129032258</v>
      </c>
      <c r="L15" s="1" t="s">
        <v>23</v>
      </c>
    </row>
    <row r="16" spans="1:13" ht="24" customHeight="1">
      <c r="A16" s="15" t="s">
        <v>21</v>
      </c>
      <c r="B16" s="53">
        <v>1000</v>
      </c>
      <c r="C16" s="53"/>
      <c r="D16" s="19" t="s">
        <v>7</v>
      </c>
      <c r="E16" s="32"/>
      <c r="F16" s="17" t="s">
        <v>108</v>
      </c>
      <c r="G16" s="22">
        <v>7.84</v>
      </c>
      <c r="H16" s="24" t="s">
        <v>19</v>
      </c>
      <c r="J16" s="4" t="s">
        <v>29</v>
      </c>
      <c r="K16" s="1">
        <f>B23/K13</f>
        <v>7.387096774193548</v>
      </c>
      <c r="L16" s="1" t="s">
        <v>23</v>
      </c>
    </row>
    <row r="17" spans="1:13" ht="24" customHeight="1">
      <c r="A17" s="15" t="s">
        <v>11</v>
      </c>
      <c r="B17" s="55">
        <v>0.58263888888888882</v>
      </c>
      <c r="C17" s="55"/>
      <c r="D17" s="26"/>
      <c r="E17" s="32"/>
      <c r="F17" s="17" t="s">
        <v>109</v>
      </c>
      <c r="G17" s="22">
        <v>8.0399999999999991</v>
      </c>
      <c r="H17" s="24" t="s">
        <v>19</v>
      </c>
      <c r="J17" s="4" t="s">
        <v>30</v>
      </c>
      <c r="K17" s="1">
        <f>B24/K14</f>
        <v>7.1428571428571432</v>
      </c>
      <c r="L17" s="1" t="s">
        <v>23</v>
      </c>
    </row>
    <row r="18" spans="1:13" ht="24" customHeight="1">
      <c r="A18" s="15" t="s">
        <v>12</v>
      </c>
      <c r="B18" s="55">
        <v>0.60416666666666663</v>
      </c>
      <c r="C18" s="55"/>
      <c r="D18" s="26"/>
      <c r="E18" s="50" t="s">
        <v>41</v>
      </c>
      <c r="F18" s="17" t="s">
        <v>38</v>
      </c>
      <c r="G18" s="27">
        <f>(K8*K15)/K4</f>
        <v>34.383169705469847</v>
      </c>
      <c r="H18" s="24" t="s">
        <v>23</v>
      </c>
    </row>
    <row r="19" spans="1:13" ht="24" customHeight="1">
      <c r="A19" s="15" t="s">
        <v>14</v>
      </c>
      <c r="B19" s="55">
        <v>0.62569444444444444</v>
      </c>
      <c r="C19" s="55"/>
      <c r="D19" s="26"/>
      <c r="E19" s="51"/>
      <c r="F19" s="17" t="s">
        <v>39</v>
      </c>
      <c r="G19" s="27">
        <f>K9*K16/K5</f>
        <v>44.288061501356651</v>
      </c>
      <c r="H19" s="24" t="s">
        <v>23</v>
      </c>
      <c r="J19" s="1" t="s">
        <v>57</v>
      </c>
      <c r="K19" s="1">
        <f>IFERROR(194*$B$8^-0.287*G11^-1.094*IF($B$6="女性",0.739,1),"")</f>
        <v>50.471739874009288</v>
      </c>
      <c r="L19" s="1" t="s">
        <v>58</v>
      </c>
      <c r="M19" s="1">
        <f>IFERROR(272.213*$B$8^-0.284*G11^-0.437*IF($B$6="女性",0.864,1),"")</f>
        <v>83.707440510897101</v>
      </c>
    </row>
    <row r="20" spans="1:13" ht="24" customHeight="1">
      <c r="A20" s="15" t="s">
        <v>16</v>
      </c>
      <c r="B20" s="55">
        <v>0.64513888888888882</v>
      </c>
      <c r="C20" s="55"/>
      <c r="D20" s="26"/>
      <c r="E20" s="51"/>
      <c r="F20" s="17" t="s">
        <v>40</v>
      </c>
      <c r="G20" s="27">
        <f>K10*K17/K6</f>
        <v>40.186074429771914</v>
      </c>
      <c r="H20" s="24" t="s">
        <v>23</v>
      </c>
      <c r="J20" s="1" t="s">
        <v>54</v>
      </c>
      <c r="K20" s="1">
        <f>IFERROR(194*$B$8^-0.287*G12^-1.094*IF($B$6="女性",0.739,1),"")</f>
        <v>51.599672986333935</v>
      </c>
      <c r="L20" s="1" t="s">
        <v>58</v>
      </c>
      <c r="M20" s="1">
        <f>IFERROR(272.213*$B$8^-0.284*G12^-0.437*IF($B$6="女性",0.864,1),"")</f>
        <v>84.449730468226505</v>
      </c>
    </row>
    <row r="21" spans="1:13" ht="24" customHeight="1">
      <c r="A21" s="15" t="s">
        <v>64</v>
      </c>
      <c r="B21" s="53">
        <v>577</v>
      </c>
      <c r="C21" s="53"/>
      <c r="D21" s="19" t="s">
        <v>7</v>
      </c>
      <c r="E21" s="52"/>
      <c r="F21" s="28" t="s">
        <v>37</v>
      </c>
      <c r="G21" s="27">
        <f>AVERAGE(G18,G19,G20)</f>
        <v>39.619101878866132</v>
      </c>
      <c r="H21" s="24" t="s">
        <v>23</v>
      </c>
      <c r="J21" s="1" t="s">
        <v>55</v>
      </c>
      <c r="K21" s="1">
        <f>IFERROR(194*$B$8^-0.287*G13^-1.094*IF($B$6="女性",0.739,1),"")</f>
        <v>52.181913291356445</v>
      </c>
      <c r="L21" s="1" t="s">
        <v>58</v>
      </c>
      <c r="M21" s="1">
        <f>IFERROR(272.213*$B$8^-0.284*G13^-0.437*IF($B$6="女性",0.864,1),"")</f>
        <v>84.829091338860962</v>
      </c>
    </row>
    <row r="22" spans="1:13" ht="24" customHeight="1">
      <c r="A22" s="15" t="s">
        <v>13</v>
      </c>
      <c r="B22" s="53">
        <v>188</v>
      </c>
      <c r="C22" s="53"/>
      <c r="D22" s="19" t="s">
        <v>7</v>
      </c>
      <c r="E22" s="47" t="s">
        <v>53</v>
      </c>
      <c r="F22" s="17" t="s">
        <v>38</v>
      </c>
      <c r="G22" s="27">
        <f>G18*1.73/B13</f>
        <v>44.133205607243745</v>
      </c>
      <c r="H22" s="24" t="s">
        <v>23</v>
      </c>
      <c r="J22" s="1" t="s">
        <v>56</v>
      </c>
      <c r="K22" s="1">
        <f>IFERROR(194*$B$8^-0.287*G14^-1.094*IF($B$6="女性",0.739,1),"")</f>
        <v>51.599672986333935</v>
      </c>
      <c r="L22" s="1" t="s">
        <v>58</v>
      </c>
      <c r="M22" s="1">
        <f>IFERROR(272.213*$B$8^-0.284*G14^-0.437*IF($B$6="女性",0.864,1),"")</f>
        <v>84.449730468226505</v>
      </c>
    </row>
    <row r="23" spans="1:13" ht="24" customHeight="1">
      <c r="A23" s="15" t="s">
        <v>15</v>
      </c>
      <c r="B23" s="43">
        <v>229</v>
      </c>
      <c r="C23" s="44"/>
      <c r="D23" s="25" t="s">
        <v>7</v>
      </c>
      <c r="E23" s="48"/>
      <c r="F23" s="17" t="s">
        <v>39</v>
      </c>
      <c r="G23" s="27">
        <f>G19*1.73/B13</f>
        <v>56.846827704622186</v>
      </c>
      <c r="H23" s="24" t="s">
        <v>23</v>
      </c>
      <c r="K23" s="1">
        <f>AVERAGE(K20:K22)</f>
        <v>51.79375308800811</v>
      </c>
    </row>
    <row r="24" spans="1:13" ht="24" customHeight="1">
      <c r="A24" s="15" t="s">
        <v>17</v>
      </c>
      <c r="B24" s="43">
        <v>200</v>
      </c>
      <c r="C24" s="44"/>
      <c r="D24" s="19" t="s">
        <v>7</v>
      </c>
      <c r="E24" s="48"/>
      <c r="F24" s="17" t="s">
        <v>40</v>
      </c>
      <c r="G24" s="27">
        <f>G20*1.73/B13</f>
        <v>51.581640103267752</v>
      </c>
      <c r="H24" s="24" t="s">
        <v>23</v>
      </c>
    </row>
    <row r="25" spans="1:13">
      <c r="A25" s="15" t="s">
        <v>35</v>
      </c>
      <c r="B25" s="43">
        <v>1.21</v>
      </c>
      <c r="C25" s="44"/>
      <c r="D25" s="25"/>
      <c r="E25" s="49"/>
      <c r="F25" s="28" t="s">
        <v>37</v>
      </c>
      <c r="G25" s="27">
        <f>AVERAGE(G22,G23,G24)</f>
        <v>50.85389113837789</v>
      </c>
      <c r="H25" s="24" t="s">
        <v>23</v>
      </c>
    </row>
    <row r="26" spans="1:13">
      <c r="A26" s="15" t="s">
        <v>44</v>
      </c>
      <c r="B26" s="43" t="s">
        <v>121</v>
      </c>
      <c r="C26" s="44"/>
      <c r="D26" s="29"/>
      <c r="E26" s="32" t="s">
        <v>47</v>
      </c>
      <c r="F26" s="32"/>
      <c r="G26" s="27">
        <f>AVERAGE(K19:K22)</f>
        <v>51.463249784508399</v>
      </c>
      <c r="H26" s="24" t="s">
        <v>59</v>
      </c>
    </row>
    <row r="27" spans="1:13">
      <c r="A27" s="15" t="s">
        <v>60</v>
      </c>
      <c r="B27" s="43">
        <v>2</v>
      </c>
      <c r="C27" s="44"/>
      <c r="D27" s="29" t="s">
        <v>62</v>
      </c>
      <c r="E27" s="32" t="s">
        <v>48</v>
      </c>
      <c r="F27" s="32"/>
      <c r="G27" s="27">
        <f>AVERAGE(M19:M22)</f>
        <v>84.358998196552761</v>
      </c>
      <c r="H27" s="24" t="s">
        <v>59</v>
      </c>
    </row>
    <row r="28" spans="1:13" s="7" customFormat="1">
      <c r="A28" s="15" t="s">
        <v>61</v>
      </c>
      <c r="B28" s="43">
        <v>23.08</v>
      </c>
      <c r="C28" s="44"/>
      <c r="D28" s="29" t="s">
        <v>62</v>
      </c>
      <c r="E28" s="32" t="s">
        <v>105</v>
      </c>
      <c r="F28" s="32"/>
      <c r="G28" s="27">
        <f>G27-10</f>
        <v>74.358998196552761</v>
      </c>
      <c r="H28" s="24" t="s">
        <v>59</v>
      </c>
    </row>
    <row r="29" spans="1:13" s="7" customFormat="1">
      <c r="A29" s="15" t="s">
        <v>95</v>
      </c>
      <c r="B29" s="43" t="s">
        <v>122</v>
      </c>
      <c r="C29" s="44"/>
      <c r="D29" s="29"/>
      <c r="E29" s="39" t="s">
        <v>49</v>
      </c>
      <c r="F29" s="40"/>
      <c r="G29" s="27">
        <f>104*B25^-1.019*0.996^B8*(IF(B6="女性",0.929,1))-8</f>
        <v>60.319648149153267</v>
      </c>
      <c r="H29" s="24" t="s">
        <v>59</v>
      </c>
    </row>
    <row r="30" spans="1:13" s="7" customFormat="1" ht="25" thickBot="1">
      <c r="A30" s="30" t="s">
        <v>96</v>
      </c>
      <c r="B30" s="45" t="s">
        <v>123</v>
      </c>
      <c r="C30" s="46"/>
      <c r="D30" s="29" t="s">
        <v>97</v>
      </c>
      <c r="E30" s="41" t="s">
        <v>45</v>
      </c>
      <c r="F30" s="42"/>
      <c r="G30" s="31">
        <f>B27/B28</f>
        <v>8.6655112651646451E-2</v>
      </c>
      <c r="H30" s="29" t="s">
        <v>46</v>
      </c>
    </row>
    <row r="31" spans="1:13">
      <c r="A31" s="33" t="s">
        <v>104</v>
      </c>
      <c r="B31" s="34"/>
      <c r="C31" s="34"/>
      <c r="D31" s="34"/>
      <c r="E31" s="34"/>
      <c r="F31" s="34"/>
      <c r="G31" s="34"/>
      <c r="H31" s="35"/>
    </row>
    <row r="32" spans="1:13" ht="25" thickBot="1">
      <c r="A32" s="36"/>
      <c r="B32" s="37"/>
      <c r="C32" s="37"/>
      <c r="D32" s="37"/>
      <c r="E32" s="37"/>
      <c r="F32" s="37"/>
      <c r="G32" s="37"/>
      <c r="H32" s="38"/>
    </row>
    <row r="33" spans="1:9">
      <c r="D33" s="1"/>
      <c r="E33" s="4"/>
      <c r="F33" s="4"/>
      <c r="G33" s="11"/>
      <c r="H33" s="6"/>
    </row>
    <row r="34" spans="1:9">
      <c r="D34" s="1"/>
      <c r="F34" s="4"/>
      <c r="G34" s="11"/>
      <c r="H34" s="4"/>
    </row>
    <row r="35" spans="1:9">
      <c r="D35" s="1"/>
      <c r="F35" s="4"/>
      <c r="G35" s="11"/>
      <c r="H35" s="4"/>
      <c r="I35" s="5"/>
    </row>
    <row r="36" spans="1:9">
      <c r="D36" s="1"/>
    </row>
    <row r="37" spans="1:9">
      <c r="D37" s="1"/>
    </row>
    <row r="38" spans="1:9">
      <c r="D38" s="1"/>
    </row>
    <row r="39" spans="1:9">
      <c r="A39" s="1" t="s">
        <v>18</v>
      </c>
      <c r="D39" s="1"/>
    </row>
    <row r="40" spans="1:9">
      <c r="A40" s="1" t="s">
        <v>18</v>
      </c>
      <c r="D40" s="1"/>
    </row>
    <row r="41" spans="1:9">
      <c r="A41" s="1" t="s">
        <v>18</v>
      </c>
      <c r="D41" s="1"/>
    </row>
    <row r="42" spans="1:9">
      <c r="D42" s="1"/>
    </row>
    <row r="43" spans="1:9">
      <c r="D43" s="1"/>
    </row>
    <row r="44" spans="1:9">
      <c r="D44" s="1"/>
    </row>
    <row r="45" spans="1:9">
      <c r="D45" s="1"/>
    </row>
    <row r="46" spans="1:9">
      <c r="D46" s="1"/>
    </row>
  </sheetData>
  <mergeCells count="41">
    <mergeCell ref="A1:E1"/>
    <mergeCell ref="G2:H2"/>
    <mergeCell ref="E3:E10"/>
    <mergeCell ref="E27:F27"/>
    <mergeCell ref="B16:C16"/>
    <mergeCell ref="B18:C18"/>
    <mergeCell ref="B9:C9"/>
    <mergeCell ref="B3:C3"/>
    <mergeCell ref="B11:C11"/>
    <mergeCell ref="B12:C12"/>
    <mergeCell ref="B17:C17"/>
    <mergeCell ref="B6:C6"/>
    <mergeCell ref="B7:C7"/>
    <mergeCell ref="B4:C4"/>
    <mergeCell ref="B8:C8"/>
    <mergeCell ref="B10:C10"/>
    <mergeCell ref="B5:C5"/>
    <mergeCell ref="C2:E2"/>
    <mergeCell ref="B28:C28"/>
    <mergeCell ref="B25:C25"/>
    <mergeCell ref="B21:C21"/>
    <mergeCell ref="B19:C19"/>
    <mergeCell ref="B20:C20"/>
    <mergeCell ref="B13:C13"/>
    <mergeCell ref="B14:C14"/>
    <mergeCell ref="B15:C15"/>
    <mergeCell ref="E26:F26"/>
    <mergeCell ref="B22:C22"/>
    <mergeCell ref="B24:C24"/>
    <mergeCell ref="B23:C23"/>
    <mergeCell ref="B26:C26"/>
    <mergeCell ref="B27:C27"/>
    <mergeCell ref="E11:E17"/>
    <mergeCell ref="E28:F28"/>
    <mergeCell ref="A31:H32"/>
    <mergeCell ref="E29:F29"/>
    <mergeCell ref="E30:F30"/>
    <mergeCell ref="B29:C29"/>
    <mergeCell ref="B30:C30"/>
    <mergeCell ref="E22:E25"/>
    <mergeCell ref="E18:E21"/>
  </mergeCells>
  <phoneticPr fontId="1"/>
  <dataValidations count="6">
    <dataValidation type="list" allowBlank="1" showInputMessage="1" showErrorMessage="1" sqref="B6" xr:uid="{00000000-0002-0000-0000-000000000000}">
      <formula1>"男性,女性"</formula1>
    </dataValidation>
    <dataValidation type="date" allowBlank="1" showInputMessage="1" showErrorMessage="1" sqref="B7" xr:uid="{00000000-0002-0000-0000-000001000000}">
      <formula1>1</formula1>
      <formula2>219148</formula2>
    </dataValidation>
    <dataValidation type="list" allowBlank="1" showInputMessage="1" showErrorMessage="1" sqref="C2:E2" xr:uid="{00000000-0002-0000-0000-000002000000}">
      <formula1>"1.術前ドナー候補, 2.レシピエント術後, 2.ドナー術後"</formula1>
    </dataValidation>
    <dataValidation type="list" allowBlank="1" showInputMessage="1" showErrorMessage="1" sqref="B29:C29 B26:C26" xr:uid="{00000000-0002-0000-0000-000003000000}">
      <formula1>"(-),(+-),(1+),(2+),(3+),Over"</formula1>
    </dataValidation>
    <dataValidation type="list" allowBlank="1" showInputMessage="1" showErrorMessage="1" sqref="B30:C30" xr:uid="{00000000-0002-0000-0000-000004000000}">
      <formula1>"0-1,1-4,5-9,10-19,20-29,30-49,50-99,&gt;=100"</formula1>
    </dataValidation>
    <dataValidation type="list" allowBlank="1" showInputMessage="1" showErrorMessage="1" sqref="G2:H2" xr:uid="{00000000-0002-0000-0000-000005000000}">
      <formula1>$M$3:$M$10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topLeftCell="A27" workbookViewId="0">
      <selection activeCell="B36" sqref="B36"/>
    </sheetView>
  </sheetViews>
  <sheetFormatPr baseColWidth="10" defaultColWidth="10.85546875" defaultRowHeight="20"/>
  <cols>
    <col min="1" max="2" width="21.85546875" customWidth="1"/>
  </cols>
  <sheetData>
    <row r="1" spans="1:2">
      <c r="A1" t="s">
        <v>90</v>
      </c>
      <c r="B1" t="s">
        <v>93</v>
      </c>
    </row>
    <row r="2" spans="1:2">
      <c r="A2" t="s">
        <v>91</v>
      </c>
    </row>
    <row r="3" spans="1:2">
      <c r="A3" t="s">
        <v>92</v>
      </c>
      <c r="B3" t="s">
        <v>94</v>
      </c>
    </row>
    <row r="4" spans="1:2">
      <c r="A4" t="s">
        <v>65</v>
      </c>
      <c r="B4">
        <f>Sheet1!B3</f>
        <v>44016</v>
      </c>
    </row>
    <row r="5" spans="1:2">
      <c r="A5" t="s">
        <v>66</v>
      </c>
      <c r="B5">
        <f>Sheet1!B11</f>
        <v>143</v>
      </c>
    </row>
    <row r="6" spans="1:2">
      <c r="A6" t="s">
        <v>67</v>
      </c>
      <c r="B6">
        <f>Sheet1!B12</f>
        <v>47</v>
      </c>
    </row>
    <row r="7" spans="1:2">
      <c r="A7" t="s">
        <v>68</v>
      </c>
      <c r="B7">
        <f>Sheet1!B9</f>
        <v>107</v>
      </c>
    </row>
    <row r="8" spans="1:2">
      <c r="A8" t="s">
        <v>69</v>
      </c>
      <c r="B8">
        <f>Sheet1!B10</f>
        <v>58</v>
      </c>
    </row>
    <row r="9" spans="1:2">
      <c r="A9" t="s">
        <v>70</v>
      </c>
      <c r="B9" s="12">
        <f>Sheet1!B13</f>
        <v>1.3478033777972314</v>
      </c>
    </row>
    <row r="10" spans="1:2">
      <c r="A10" t="s">
        <v>71</v>
      </c>
      <c r="B10">
        <f>Sheet1!G4</f>
        <v>23</v>
      </c>
    </row>
    <row r="11" spans="1:2">
      <c r="A11" t="s">
        <v>72</v>
      </c>
      <c r="B11">
        <f>Sheet1!G5</f>
        <v>21.4</v>
      </c>
    </row>
    <row r="12" spans="1:2">
      <c r="A12" t="s">
        <v>73</v>
      </c>
      <c r="B12">
        <f>Sheet1!G6</f>
        <v>23.8</v>
      </c>
    </row>
    <row r="13" spans="1:2">
      <c r="A13" t="s">
        <v>74</v>
      </c>
      <c r="B13">
        <f>Sheet1!G8</f>
        <v>130.4</v>
      </c>
    </row>
    <row r="14" spans="1:2">
      <c r="A14" t="s">
        <v>75</v>
      </c>
      <c r="B14">
        <f>Sheet1!G9</f>
        <v>128.30000000000001</v>
      </c>
    </row>
    <row r="15" spans="1:2">
      <c r="A15" t="s">
        <v>76</v>
      </c>
      <c r="B15">
        <f>Sheet1!G10</f>
        <v>133.9</v>
      </c>
    </row>
    <row r="16" spans="1:2">
      <c r="A16" t="s">
        <v>77</v>
      </c>
      <c r="B16">
        <f>Sheet1!B21</f>
        <v>577</v>
      </c>
    </row>
    <row r="17" spans="1:2">
      <c r="A17" t="s">
        <v>78</v>
      </c>
      <c r="B17">
        <f>Sheet1!B22</f>
        <v>188</v>
      </c>
    </row>
    <row r="18" spans="1:2">
      <c r="A18" t="s">
        <v>79</v>
      </c>
      <c r="B18">
        <f>Sheet1!B23</f>
        <v>229</v>
      </c>
    </row>
    <row r="19" spans="1:2">
      <c r="A19" t="s">
        <v>80</v>
      </c>
      <c r="B19">
        <f>Sheet1!B24</f>
        <v>200</v>
      </c>
    </row>
    <row r="20" spans="1:2">
      <c r="A20" t="s">
        <v>81</v>
      </c>
      <c r="B20">
        <f>Sheet1!G22</f>
        <v>44.133205607243745</v>
      </c>
    </row>
    <row r="21" spans="1:2">
      <c r="A21" t="s">
        <v>82</v>
      </c>
      <c r="B21">
        <f>Sheet1!G23</f>
        <v>56.846827704622186</v>
      </c>
    </row>
    <row r="22" spans="1:2">
      <c r="A22" t="s">
        <v>83</v>
      </c>
      <c r="B22">
        <f>Sheet1!G24</f>
        <v>51.581640103267752</v>
      </c>
    </row>
    <row r="23" spans="1:2">
      <c r="A23" t="s">
        <v>84</v>
      </c>
      <c r="B23">
        <f>Sheet1!G25</f>
        <v>50.85389113837789</v>
      </c>
    </row>
    <row r="24" spans="1:2">
      <c r="A24" t="s">
        <v>85</v>
      </c>
    </row>
    <row r="25" spans="1:2">
      <c r="A25" t="s">
        <v>86</v>
      </c>
    </row>
    <row r="26" spans="1:2">
      <c r="A26" t="s">
        <v>87</v>
      </c>
      <c r="B26">
        <f>Sheet1!G11</f>
        <v>1</v>
      </c>
    </row>
    <row r="27" spans="1:2">
      <c r="A27" t="s">
        <v>88</v>
      </c>
    </row>
    <row r="28" spans="1:2">
      <c r="A28" t="s">
        <v>89</v>
      </c>
      <c r="B28">
        <f>Sheet1!B25</f>
        <v>1.21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中澤成晃</dc:creator>
  <cp:lastModifiedBy>Microsoft Office User</cp:lastModifiedBy>
  <cp:lastPrinted>2020-01-20T05:51:54Z</cp:lastPrinted>
  <dcterms:created xsi:type="dcterms:W3CDTF">2018-11-26T07:27:35Z</dcterms:created>
  <dcterms:modified xsi:type="dcterms:W3CDTF">2022-09-04T06:23:25Z</dcterms:modified>
</cp:coreProperties>
</file>