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mc:AlternateContent xmlns:mc="http://schemas.openxmlformats.org/markup-compatibility/2006">
    <mc:Choice Requires="x15">
      <x15ac:absPath xmlns:x15ac="http://schemas.microsoft.com/office/spreadsheetml/2010/11/ac" url="C:\Users\hayato\Downloads\"/>
    </mc:Choice>
  </mc:AlternateContent>
  <xr:revisionPtr revIDLastSave="0" documentId="13_ncr:1_{0617B15D-0838-416F-BA19-B2814CA77A1C}" xr6:coauthVersionLast="47" xr6:coauthVersionMax="47" xr10:uidLastSave="{00000000-0000-0000-0000-000000000000}"/>
  <bookViews>
    <workbookView xWindow="-120" yWindow="-120" windowWidth="29040" windowHeight="15840" xr2:uid="{00000000-000D-0000-FFFF-FFFF00000000}"/>
  </bookViews>
  <sheets>
    <sheet name="export_multi_language_24-0807_1" sheetId="1" r:id="rId1"/>
    <sheet name="説明"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6" roundtripDataChecksum="EzBySgDBBS1T8dm1LkaiDfNsbsdKl4sEYmhsAmXJSGk="/>
    </ext>
  </extLst>
</workbook>
</file>

<file path=xl/calcChain.xml><?xml version="1.0" encoding="utf-8"?>
<calcChain xmlns="http://schemas.openxmlformats.org/spreadsheetml/2006/main">
  <c r="Q238" i="1" l="1"/>
  <c r="Q237" i="1"/>
  <c r="Q236" i="1"/>
  <c r="Q235" i="1"/>
  <c r="Q234" i="1"/>
  <c r="Q233" i="1"/>
  <c r="Q232" i="1"/>
  <c r="Q231" i="1"/>
  <c r="Q230" i="1"/>
  <c r="Q229" i="1"/>
  <c r="Q228" i="1"/>
  <c r="Q227" i="1"/>
  <c r="Q226" i="1"/>
  <c r="Q225" i="1"/>
  <c r="Q224" i="1"/>
  <c r="Q223" i="1"/>
  <c r="Q222" i="1"/>
  <c r="Q221" i="1"/>
  <c r="Q220" i="1"/>
  <c r="Q219" i="1"/>
  <c r="Q218" i="1"/>
  <c r="Q217" i="1"/>
  <c r="Q216" i="1"/>
  <c r="Q215" i="1"/>
  <c r="Q214" i="1"/>
  <c r="Q213" i="1"/>
  <c r="Q212" i="1"/>
  <c r="Q211" i="1"/>
  <c r="Q210" i="1"/>
  <c r="Q209" i="1"/>
  <c r="Q208" i="1"/>
  <c r="Q207" i="1"/>
  <c r="Q206" i="1"/>
  <c r="Q205" i="1"/>
  <c r="Q204" i="1"/>
  <c r="Q203" i="1"/>
  <c r="Q202" i="1"/>
  <c r="Q201" i="1"/>
  <c r="Q200" i="1"/>
  <c r="Q199" i="1"/>
  <c r="Q198" i="1"/>
  <c r="Q197" i="1"/>
  <c r="Q196" i="1"/>
  <c r="Q195" i="1"/>
  <c r="Q194" i="1"/>
  <c r="Q193" i="1"/>
  <c r="Q192" i="1"/>
  <c r="Q191" i="1"/>
  <c r="Q190" i="1"/>
  <c r="Q189" i="1"/>
  <c r="Q188" i="1"/>
  <c r="Q187" i="1"/>
  <c r="Q186" i="1"/>
  <c r="Q185" i="1"/>
  <c r="Q184" i="1"/>
  <c r="Q183" i="1"/>
  <c r="Q182" i="1"/>
  <c r="Q181" i="1"/>
  <c r="Q180" i="1"/>
  <c r="Q179" i="1"/>
  <c r="Q178" i="1"/>
  <c r="Q177" i="1"/>
  <c r="Q176" i="1"/>
  <c r="Q175" i="1"/>
  <c r="Q174" i="1"/>
  <c r="Q173" i="1"/>
  <c r="Q172" i="1"/>
  <c r="Q171" i="1"/>
  <c r="Q170" i="1"/>
  <c r="Q169" i="1"/>
  <c r="Q168" i="1"/>
  <c r="Q167" i="1"/>
  <c r="Q166" i="1"/>
  <c r="Q165" i="1"/>
  <c r="Q164" i="1"/>
  <c r="Q163" i="1"/>
  <c r="Q162" i="1"/>
  <c r="Q161" i="1"/>
  <c r="Q160" i="1"/>
  <c r="Q159" i="1"/>
  <c r="Q158" i="1"/>
  <c r="Q157" i="1"/>
  <c r="Q156" i="1"/>
  <c r="Q155" i="1"/>
  <c r="Q154" i="1"/>
  <c r="Q153" i="1"/>
  <c r="Q152" i="1"/>
  <c r="Q151" i="1"/>
  <c r="Q150" i="1"/>
  <c r="Q149" i="1"/>
  <c r="Q148" i="1"/>
  <c r="Q147" i="1"/>
  <c r="Q146" i="1"/>
  <c r="Q145" i="1"/>
  <c r="Q144" i="1"/>
  <c r="Q143" i="1"/>
  <c r="Q142" i="1"/>
  <c r="Q141" i="1"/>
  <c r="Q140" i="1"/>
  <c r="Q139" i="1"/>
  <c r="Q138" i="1"/>
  <c r="Q137" i="1"/>
  <c r="Q136" i="1"/>
  <c r="Q135" i="1"/>
  <c r="Q134" i="1"/>
  <c r="Q133" i="1"/>
  <c r="Q132" i="1"/>
  <c r="Q131" i="1"/>
  <c r="Q130" i="1"/>
  <c r="Q129" i="1"/>
  <c r="Q128" i="1"/>
  <c r="Q127" i="1"/>
  <c r="Q126" i="1"/>
  <c r="Q125" i="1"/>
  <c r="Q124" i="1"/>
  <c r="Q123" i="1"/>
  <c r="Q122" i="1"/>
  <c r="Q121" i="1"/>
  <c r="Q120" i="1"/>
  <c r="Q119" i="1"/>
  <c r="Q118" i="1"/>
  <c r="Q117" i="1"/>
  <c r="Q116" i="1"/>
  <c r="Q115" i="1"/>
  <c r="Q114" i="1"/>
  <c r="Q113" i="1"/>
  <c r="Q112" i="1"/>
  <c r="Q111" i="1"/>
  <c r="Q110" i="1"/>
  <c r="Q109" i="1"/>
  <c r="Q108" i="1"/>
  <c r="Q107" i="1"/>
  <c r="Q106" i="1"/>
  <c r="Q105" i="1"/>
  <c r="Q104" i="1"/>
  <c r="Q103" i="1"/>
  <c r="Q102" i="1"/>
  <c r="Q101" i="1"/>
  <c r="Q100" i="1"/>
  <c r="Q99" i="1"/>
  <c r="Q98" i="1"/>
  <c r="Q97" i="1"/>
  <c r="Q96" i="1"/>
  <c r="Q95" i="1"/>
  <c r="Q94" i="1"/>
  <c r="Q93" i="1"/>
  <c r="Q92" i="1"/>
  <c r="Q91" i="1"/>
  <c r="Q90" i="1"/>
  <c r="Q89" i="1"/>
  <c r="Q88" i="1"/>
  <c r="Q87" i="1"/>
  <c r="Q86" i="1"/>
  <c r="Q85" i="1"/>
  <c r="Q84" i="1"/>
  <c r="Q83" i="1"/>
  <c r="Q82" i="1"/>
  <c r="Q81" i="1"/>
  <c r="Q80" i="1"/>
  <c r="Q79" i="1"/>
  <c r="Q78" i="1"/>
  <c r="Q77" i="1"/>
  <c r="Q76" i="1"/>
  <c r="Q75" i="1"/>
  <c r="Q74" i="1"/>
  <c r="Q73" i="1"/>
  <c r="Q72" i="1"/>
  <c r="Q71" i="1"/>
  <c r="Q70" i="1"/>
  <c r="Q69" i="1"/>
  <c r="Q68" i="1"/>
  <c r="Q67" i="1"/>
  <c r="Q66" i="1"/>
  <c r="Q65" i="1"/>
  <c r="Q64" i="1"/>
  <c r="Q63" i="1"/>
  <c r="Q62" i="1"/>
  <c r="Q61" i="1"/>
  <c r="Q60" i="1"/>
  <c r="Q59" i="1"/>
  <c r="Q58" i="1"/>
  <c r="Q57" i="1"/>
  <c r="Q56" i="1"/>
  <c r="Q55" i="1"/>
  <c r="Q54" i="1"/>
  <c r="Q53" i="1"/>
  <c r="Q52" i="1"/>
  <c r="Q51" i="1"/>
  <c r="Q50" i="1"/>
  <c r="Q49" i="1"/>
  <c r="Q48" i="1"/>
  <c r="Q47" i="1"/>
  <c r="Q46" i="1"/>
  <c r="Q45" i="1"/>
  <c r="Q44" i="1"/>
  <c r="Q43" i="1"/>
  <c r="Q42" i="1"/>
  <c r="Q41" i="1"/>
  <c r="Q40" i="1"/>
  <c r="Q39" i="1"/>
  <c r="Q38" i="1"/>
  <c r="Q37" i="1"/>
  <c r="Q36" i="1"/>
  <c r="Q35" i="1"/>
  <c r="Q34" i="1"/>
  <c r="Q33" i="1"/>
  <c r="Q32" i="1"/>
  <c r="Q31" i="1"/>
  <c r="Q30" i="1"/>
  <c r="Q29" i="1"/>
  <c r="Q28" i="1"/>
  <c r="Q27" i="1"/>
  <c r="Q26" i="1"/>
  <c r="Q25" i="1"/>
  <c r="Q24" i="1"/>
  <c r="Q23" i="1"/>
  <c r="Q22" i="1"/>
  <c r="Q21" i="1"/>
  <c r="Q20" i="1"/>
  <c r="Q19" i="1"/>
  <c r="Q18" i="1"/>
  <c r="Q17" i="1"/>
  <c r="Q16" i="1"/>
  <c r="Q15" i="1"/>
  <c r="Q14" i="1"/>
  <c r="Q13" i="1"/>
  <c r="Q12" i="1"/>
  <c r="Q11" i="1"/>
  <c r="Q10" i="1"/>
  <c r="Q9" i="1"/>
  <c r="Q8" i="1"/>
  <c r="O238" i="1"/>
  <c r="O237" i="1"/>
  <c r="O236" i="1"/>
  <c r="O235" i="1"/>
  <c r="O234" i="1"/>
  <c r="O233" i="1"/>
  <c r="O232" i="1"/>
  <c r="O231" i="1"/>
  <c r="O230" i="1"/>
  <c r="O229" i="1"/>
  <c r="O228" i="1"/>
  <c r="O227" i="1"/>
  <c r="O226" i="1"/>
  <c r="O225" i="1"/>
  <c r="O224" i="1"/>
  <c r="O223" i="1"/>
  <c r="O222" i="1"/>
  <c r="O221" i="1"/>
  <c r="O220" i="1"/>
  <c r="O219" i="1"/>
  <c r="O218" i="1"/>
  <c r="O217" i="1"/>
  <c r="O216" i="1"/>
  <c r="O215" i="1"/>
  <c r="O214" i="1"/>
  <c r="O213" i="1"/>
  <c r="O212" i="1"/>
  <c r="O211" i="1"/>
  <c r="O210" i="1"/>
  <c r="O209" i="1"/>
  <c r="O208" i="1"/>
  <c r="O207" i="1"/>
  <c r="O206" i="1"/>
  <c r="O205" i="1"/>
  <c r="O204" i="1"/>
  <c r="O203" i="1"/>
  <c r="O202" i="1"/>
  <c r="O201" i="1"/>
  <c r="O200" i="1"/>
  <c r="O199" i="1"/>
  <c r="O198" i="1"/>
  <c r="O197" i="1"/>
  <c r="O196" i="1"/>
  <c r="O195" i="1"/>
  <c r="O194" i="1"/>
  <c r="O193" i="1"/>
  <c r="O192" i="1"/>
  <c r="O191" i="1"/>
  <c r="O190" i="1"/>
  <c r="O189" i="1"/>
  <c r="O188" i="1"/>
  <c r="O187" i="1"/>
  <c r="O186" i="1"/>
  <c r="O185" i="1"/>
  <c r="O184" i="1"/>
  <c r="O183" i="1"/>
  <c r="O182" i="1"/>
  <c r="O181" i="1"/>
  <c r="O180" i="1"/>
  <c r="O179" i="1"/>
  <c r="O178" i="1"/>
  <c r="O177" i="1"/>
  <c r="O176" i="1"/>
  <c r="O175" i="1"/>
  <c r="O174" i="1"/>
  <c r="O173" i="1"/>
  <c r="O172" i="1"/>
  <c r="O171" i="1"/>
  <c r="O170" i="1"/>
  <c r="O169" i="1"/>
  <c r="O168" i="1"/>
  <c r="O167" i="1"/>
  <c r="O166" i="1"/>
  <c r="O165" i="1"/>
  <c r="O164" i="1"/>
  <c r="O163" i="1"/>
  <c r="O162" i="1"/>
  <c r="O161" i="1"/>
  <c r="O160" i="1"/>
  <c r="O159" i="1"/>
  <c r="O158" i="1"/>
  <c r="O157" i="1"/>
  <c r="O156" i="1"/>
  <c r="O155" i="1"/>
  <c r="O154" i="1"/>
  <c r="O153" i="1"/>
  <c r="O152" i="1"/>
  <c r="O151" i="1"/>
  <c r="O150" i="1"/>
  <c r="O149" i="1"/>
  <c r="O148" i="1"/>
  <c r="O147" i="1"/>
  <c r="O146" i="1"/>
  <c r="O145" i="1"/>
  <c r="O144" i="1"/>
  <c r="O143" i="1"/>
  <c r="O142" i="1"/>
  <c r="O141" i="1"/>
  <c r="O140" i="1"/>
  <c r="O139" i="1"/>
  <c r="O138" i="1"/>
  <c r="O137" i="1"/>
  <c r="O136" i="1"/>
  <c r="O135" i="1"/>
  <c r="O134" i="1"/>
  <c r="O133" i="1"/>
  <c r="O132" i="1"/>
  <c r="O131" i="1"/>
  <c r="O130" i="1"/>
  <c r="O129" i="1"/>
  <c r="O128" i="1"/>
  <c r="O127" i="1"/>
  <c r="O126" i="1"/>
  <c r="O125" i="1"/>
  <c r="O124" i="1"/>
  <c r="O123" i="1"/>
  <c r="O122" i="1"/>
  <c r="O121" i="1"/>
  <c r="O120" i="1"/>
  <c r="O119" i="1"/>
  <c r="O118" i="1"/>
  <c r="O117" i="1"/>
  <c r="O116" i="1"/>
  <c r="O115" i="1"/>
  <c r="O114" i="1"/>
  <c r="O113" i="1"/>
  <c r="O112" i="1"/>
  <c r="O111" i="1"/>
  <c r="O110" i="1"/>
  <c r="O109" i="1"/>
  <c r="O108" i="1"/>
  <c r="O107" i="1"/>
  <c r="O106" i="1"/>
  <c r="O105" i="1"/>
  <c r="O104" i="1"/>
  <c r="O103" i="1"/>
  <c r="O102" i="1"/>
  <c r="O101" i="1"/>
  <c r="O100" i="1"/>
  <c r="O99" i="1"/>
  <c r="O98" i="1"/>
  <c r="O97" i="1"/>
  <c r="O96" i="1"/>
  <c r="O95" i="1"/>
  <c r="O94" i="1"/>
  <c r="O93" i="1"/>
  <c r="O92" i="1"/>
  <c r="O91" i="1"/>
  <c r="O90" i="1"/>
  <c r="O89" i="1"/>
  <c r="O88" i="1"/>
  <c r="O87" i="1"/>
  <c r="O86" i="1"/>
  <c r="O85" i="1"/>
  <c r="O84" i="1"/>
  <c r="O83" i="1"/>
  <c r="O82" i="1"/>
  <c r="O81" i="1"/>
  <c r="O80" i="1"/>
  <c r="O79" i="1"/>
  <c r="O78" i="1"/>
  <c r="O77" i="1"/>
  <c r="O76" i="1"/>
  <c r="O75" i="1"/>
  <c r="O74" i="1"/>
  <c r="O73" i="1"/>
  <c r="O72" i="1"/>
  <c r="O71" i="1"/>
  <c r="O70" i="1"/>
  <c r="O69" i="1"/>
  <c r="O68" i="1"/>
  <c r="O67" i="1"/>
  <c r="O66" i="1"/>
  <c r="O65" i="1"/>
  <c r="O64" i="1"/>
  <c r="O63" i="1"/>
  <c r="O62" i="1"/>
  <c r="O61" i="1"/>
  <c r="O60" i="1"/>
  <c r="O59" i="1"/>
  <c r="O58" i="1"/>
  <c r="O57" i="1"/>
  <c r="O56" i="1"/>
  <c r="O55" i="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25" i="1"/>
  <c r="O24" i="1"/>
  <c r="O23" i="1"/>
  <c r="O22" i="1"/>
  <c r="O21" i="1"/>
  <c r="O20" i="1"/>
  <c r="O19" i="1"/>
  <c r="O18" i="1"/>
  <c r="O17" i="1"/>
  <c r="O16" i="1"/>
  <c r="O15" i="1"/>
  <c r="O14" i="1"/>
  <c r="O13" i="1"/>
  <c r="O12" i="1"/>
  <c r="O11" i="1"/>
  <c r="O10" i="1"/>
  <c r="O9" i="1"/>
  <c r="O8" i="1"/>
  <c r="V238" i="1"/>
  <c r="U238" i="1"/>
  <c r="T238" i="1"/>
  <c r="I238" i="1"/>
  <c r="G238" i="1"/>
  <c r="V237" i="1"/>
  <c r="U237" i="1"/>
  <c r="T237" i="1"/>
  <c r="I237" i="1"/>
  <c r="G237" i="1"/>
  <c r="V236" i="1"/>
  <c r="U236" i="1"/>
  <c r="T236" i="1"/>
  <c r="I236" i="1"/>
  <c r="G236" i="1"/>
  <c r="V235" i="1"/>
  <c r="U235" i="1"/>
  <c r="T235" i="1"/>
  <c r="I235" i="1"/>
  <c r="G235" i="1"/>
  <c r="V234" i="1"/>
  <c r="U234" i="1"/>
  <c r="T234" i="1"/>
  <c r="I234" i="1"/>
  <c r="G234" i="1"/>
  <c r="V233" i="1"/>
  <c r="U233" i="1"/>
  <c r="T233" i="1"/>
  <c r="I233" i="1"/>
  <c r="G233" i="1"/>
  <c r="V232" i="1"/>
  <c r="U232" i="1"/>
  <c r="T232" i="1"/>
  <c r="I232" i="1"/>
  <c r="G232" i="1"/>
  <c r="V231" i="1"/>
  <c r="U231" i="1"/>
  <c r="T231" i="1"/>
  <c r="I231" i="1"/>
  <c r="G231" i="1"/>
  <c r="V230" i="1"/>
  <c r="U230" i="1"/>
  <c r="T230" i="1"/>
  <c r="I230" i="1"/>
  <c r="G230" i="1"/>
  <c r="V229" i="1"/>
  <c r="U229" i="1"/>
  <c r="T229" i="1"/>
  <c r="I229" i="1"/>
  <c r="G229" i="1"/>
  <c r="V228" i="1"/>
  <c r="U228" i="1"/>
  <c r="T228" i="1"/>
  <c r="I228" i="1"/>
  <c r="G228" i="1"/>
  <c r="V227" i="1"/>
  <c r="U227" i="1"/>
  <c r="T227" i="1"/>
  <c r="I227" i="1"/>
  <c r="G227" i="1"/>
  <c r="V226" i="1"/>
  <c r="U226" i="1"/>
  <c r="T226" i="1"/>
  <c r="I226" i="1"/>
  <c r="G226" i="1"/>
  <c r="V225" i="1"/>
  <c r="U225" i="1"/>
  <c r="T225" i="1"/>
  <c r="I225" i="1"/>
  <c r="G225" i="1"/>
  <c r="V224" i="1"/>
  <c r="U224" i="1"/>
  <c r="T224" i="1"/>
  <c r="I224" i="1"/>
  <c r="G224" i="1"/>
  <c r="V223" i="1"/>
  <c r="U223" i="1"/>
  <c r="T223" i="1"/>
  <c r="I223" i="1"/>
  <c r="G223" i="1"/>
  <c r="V222" i="1"/>
  <c r="U222" i="1"/>
  <c r="T222" i="1"/>
  <c r="M222" i="1"/>
  <c r="I222" i="1"/>
  <c r="G222" i="1"/>
  <c r="E222" i="1"/>
  <c r="V221" i="1"/>
  <c r="U221" i="1"/>
  <c r="T221" i="1"/>
  <c r="I221" i="1"/>
  <c r="G221" i="1"/>
  <c r="V220" i="1"/>
  <c r="U220" i="1"/>
  <c r="T220" i="1"/>
  <c r="I220" i="1"/>
  <c r="G220" i="1"/>
  <c r="V219" i="1"/>
  <c r="U219" i="1"/>
  <c r="T219" i="1"/>
  <c r="I219" i="1"/>
  <c r="G219" i="1"/>
  <c r="V218" i="1"/>
  <c r="U218" i="1"/>
  <c r="T218" i="1"/>
  <c r="I218" i="1"/>
  <c r="G218" i="1"/>
  <c r="V217" i="1"/>
  <c r="U217" i="1"/>
  <c r="T217" i="1"/>
  <c r="I217" i="1"/>
  <c r="G217" i="1"/>
  <c r="V216" i="1"/>
  <c r="U216" i="1"/>
  <c r="T216" i="1"/>
  <c r="I216" i="1"/>
  <c r="G216" i="1"/>
  <c r="V215" i="1"/>
  <c r="U215" i="1"/>
  <c r="T215" i="1"/>
  <c r="I215" i="1"/>
  <c r="G215" i="1"/>
  <c r="V214" i="1"/>
  <c r="U214" i="1"/>
  <c r="T214" i="1"/>
  <c r="I214" i="1"/>
  <c r="G214" i="1"/>
  <c r="V213" i="1"/>
  <c r="U213" i="1"/>
  <c r="T213" i="1"/>
  <c r="I213" i="1"/>
  <c r="G213" i="1"/>
  <c r="V212" i="1"/>
  <c r="U212" i="1"/>
  <c r="T212" i="1"/>
  <c r="I212" i="1"/>
  <c r="G212" i="1"/>
  <c r="V211" i="1"/>
  <c r="U211" i="1"/>
  <c r="T211" i="1"/>
  <c r="I211" i="1"/>
  <c r="G211" i="1"/>
  <c r="V210" i="1"/>
  <c r="U210" i="1"/>
  <c r="T210" i="1"/>
  <c r="I210" i="1"/>
  <c r="G210" i="1"/>
  <c r="V209" i="1"/>
  <c r="U209" i="1"/>
  <c r="T209" i="1"/>
  <c r="I209" i="1"/>
  <c r="G209" i="1"/>
  <c r="V208" i="1"/>
  <c r="U208" i="1"/>
  <c r="T208" i="1"/>
  <c r="I208" i="1"/>
  <c r="G208" i="1"/>
  <c r="V207" i="1"/>
  <c r="U207" i="1"/>
  <c r="T207" i="1"/>
  <c r="I207" i="1"/>
  <c r="G207" i="1"/>
  <c r="V206" i="1"/>
  <c r="U206" i="1"/>
  <c r="T206" i="1"/>
  <c r="I206" i="1"/>
  <c r="G206" i="1"/>
  <c r="V205" i="1"/>
  <c r="U205" i="1"/>
  <c r="T205" i="1"/>
  <c r="I205" i="1"/>
  <c r="G205" i="1"/>
  <c r="V204" i="1"/>
  <c r="U204" i="1"/>
  <c r="T204" i="1"/>
  <c r="I204" i="1"/>
  <c r="G204" i="1"/>
  <c r="V203" i="1"/>
  <c r="U203" i="1"/>
  <c r="T203" i="1"/>
  <c r="I203" i="1"/>
  <c r="G203" i="1"/>
  <c r="V202" i="1"/>
  <c r="U202" i="1"/>
  <c r="T202" i="1"/>
  <c r="I202" i="1"/>
  <c r="G202" i="1"/>
  <c r="V201" i="1"/>
  <c r="U201" i="1"/>
  <c r="T201" i="1"/>
  <c r="I201" i="1"/>
  <c r="G201" i="1"/>
  <c r="V200" i="1"/>
  <c r="U200" i="1"/>
  <c r="T200" i="1"/>
  <c r="I200" i="1"/>
  <c r="G200" i="1"/>
  <c r="V199" i="1"/>
  <c r="U199" i="1"/>
  <c r="T199" i="1"/>
  <c r="I199" i="1"/>
  <c r="G199" i="1"/>
  <c r="V198" i="1"/>
  <c r="U198" i="1"/>
  <c r="T198" i="1"/>
  <c r="I198" i="1"/>
  <c r="G198" i="1"/>
  <c r="V197" i="1"/>
  <c r="U197" i="1"/>
  <c r="T197" i="1"/>
  <c r="I197" i="1"/>
  <c r="G197" i="1"/>
  <c r="V196" i="1"/>
  <c r="U196" i="1"/>
  <c r="T196" i="1"/>
  <c r="I196" i="1"/>
  <c r="G196" i="1"/>
  <c r="V195" i="1"/>
  <c r="U195" i="1"/>
  <c r="T195" i="1"/>
  <c r="I195" i="1"/>
  <c r="G195" i="1"/>
  <c r="V194" i="1"/>
  <c r="U194" i="1"/>
  <c r="T194" i="1"/>
  <c r="I194" i="1"/>
  <c r="G194" i="1"/>
  <c r="V193" i="1"/>
  <c r="U193" i="1"/>
  <c r="T193" i="1"/>
  <c r="I193" i="1"/>
  <c r="G193" i="1"/>
  <c r="V192" i="1"/>
  <c r="U192" i="1"/>
  <c r="T192" i="1"/>
  <c r="I192" i="1"/>
  <c r="G192" i="1"/>
  <c r="V191" i="1"/>
  <c r="U191" i="1"/>
  <c r="T191" i="1"/>
  <c r="I191" i="1"/>
  <c r="G191" i="1"/>
  <c r="V190" i="1"/>
  <c r="U190" i="1"/>
  <c r="T190" i="1"/>
  <c r="I190" i="1"/>
  <c r="G190" i="1"/>
  <c r="V189" i="1"/>
  <c r="U189" i="1"/>
  <c r="T189" i="1"/>
  <c r="I189" i="1"/>
  <c r="G189" i="1"/>
  <c r="V188" i="1"/>
  <c r="U188" i="1"/>
  <c r="T188" i="1"/>
  <c r="I188" i="1"/>
  <c r="G188" i="1"/>
  <c r="V187" i="1"/>
  <c r="U187" i="1"/>
  <c r="T187" i="1"/>
  <c r="I187" i="1"/>
  <c r="G187" i="1"/>
  <c r="V186" i="1"/>
  <c r="U186" i="1"/>
  <c r="T186" i="1"/>
  <c r="I186" i="1"/>
  <c r="G186" i="1"/>
  <c r="V185" i="1"/>
  <c r="U185" i="1"/>
  <c r="T185" i="1"/>
  <c r="I185" i="1"/>
  <c r="G185" i="1"/>
  <c r="AH184" i="1"/>
  <c r="AG184" i="1"/>
  <c r="AF184" i="1"/>
  <c r="AD184" i="1"/>
  <c r="AC184" i="1"/>
  <c r="AB184" i="1"/>
  <c r="Z184" i="1"/>
  <c r="Y184" i="1"/>
  <c r="X184" i="1"/>
  <c r="V184" i="1"/>
  <c r="U184" i="1"/>
  <c r="T184" i="1"/>
  <c r="I184" i="1"/>
  <c r="G184" i="1"/>
  <c r="V183" i="1"/>
  <c r="U183" i="1"/>
  <c r="T183" i="1"/>
  <c r="I183" i="1"/>
  <c r="G183" i="1"/>
  <c r="V182" i="1"/>
  <c r="U182" i="1"/>
  <c r="T182" i="1"/>
  <c r="I182" i="1"/>
  <c r="G182" i="1"/>
  <c r="V181" i="1"/>
  <c r="U181" i="1"/>
  <c r="T181" i="1"/>
  <c r="I181" i="1"/>
  <c r="G181" i="1"/>
  <c r="AH180" i="1"/>
  <c r="AG180" i="1"/>
  <c r="AF180" i="1"/>
  <c r="AD180" i="1"/>
  <c r="AC180" i="1"/>
  <c r="AB180" i="1"/>
  <c r="Z180" i="1"/>
  <c r="Y180" i="1"/>
  <c r="X180" i="1"/>
  <c r="V180" i="1"/>
  <c r="U180" i="1"/>
  <c r="T180" i="1"/>
  <c r="I180" i="1"/>
  <c r="G180" i="1"/>
  <c r="AH179" i="1"/>
  <c r="AG179" i="1"/>
  <c r="AF179" i="1"/>
  <c r="AD179" i="1"/>
  <c r="AC179" i="1"/>
  <c r="AB179" i="1"/>
  <c r="Z179" i="1"/>
  <c r="Y179" i="1"/>
  <c r="X179" i="1"/>
  <c r="V179" i="1"/>
  <c r="U179" i="1"/>
  <c r="T179" i="1"/>
  <c r="I179" i="1"/>
  <c r="G179" i="1"/>
  <c r="V178" i="1"/>
  <c r="U178" i="1"/>
  <c r="T178" i="1"/>
  <c r="I178" i="1"/>
  <c r="G178" i="1"/>
  <c r="AH177" i="1"/>
  <c r="AG177" i="1"/>
  <c r="AF177" i="1"/>
  <c r="AD177" i="1"/>
  <c r="AC177" i="1"/>
  <c r="AB177" i="1"/>
  <c r="Z177" i="1"/>
  <c r="Y177" i="1"/>
  <c r="X177" i="1"/>
  <c r="V177" i="1"/>
  <c r="U177" i="1"/>
  <c r="T177" i="1"/>
  <c r="I177" i="1"/>
  <c r="G177" i="1"/>
  <c r="AH176" i="1"/>
  <c r="AG176" i="1"/>
  <c r="AF176" i="1"/>
  <c r="AD176" i="1"/>
  <c r="AC176" i="1"/>
  <c r="AB176" i="1"/>
  <c r="Z176" i="1"/>
  <c r="Y176" i="1"/>
  <c r="X176" i="1"/>
  <c r="V176" i="1"/>
  <c r="U176" i="1"/>
  <c r="T176" i="1"/>
  <c r="I176" i="1"/>
  <c r="G176" i="1"/>
  <c r="V175" i="1"/>
  <c r="U175" i="1"/>
  <c r="T175" i="1"/>
  <c r="I175" i="1"/>
  <c r="G175" i="1"/>
  <c r="V174" i="1"/>
  <c r="U174" i="1"/>
  <c r="T174" i="1"/>
  <c r="I174" i="1"/>
  <c r="G174" i="1"/>
  <c r="V173" i="1"/>
  <c r="U173" i="1"/>
  <c r="T173" i="1"/>
  <c r="I173" i="1"/>
  <c r="G173" i="1"/>
  <c r="AH172" i="1"/>
  <c r="AG172" i="1"/>
  <c r="AF172" i="1"/>
  <c r="AD172" i="1"/>
  <c r="AC172" i="1"/>
  <c r="AB172" i="1"/>
  <c r="Z172" i="1"/>
  <c r="Y172" i="1"/>
  <c r="X172" i="1"/>
  <c r="V172" i="1"/>
  <c r="U172" i="1"/>
  <c r="T172" i="1"/>
  <c r="I172" i="1"/>
  <c r="G172" i="1"/>
  <c r="V171" i="1"/>
  <c r="U171" i="1"/>
  <c r="T171" i="1"/>
  <c r="I171" i="1"/>
  <c r="G171" i="1"/>
  <c r="V170" i="1"/>
  <c r="U170" i="1"/>
  <c r="T170" i="1"/>
  <c r="I170" i="1"/>
  <c r="G170" i="1"/>
  <c r="V169" i="1"/>
  <c r="U169" i="1"/>
  <c r="T169" i="1"/>
  <c r="I169" i="1"/>
  <c r="G169" i="1"/>
  <c r="AH168" i="1"/>
  <c r="AG168" i="1"/>
  <c r="AF168" i="1"/>
  <c r="AD168" i="1"/>
  <c r="AC168" i="1"/>
  <c r="AB168" i="1"/>
  <c r="Z168" i="1"/>
  <c r="Y168" i="1"/>
  <c r="X168" i="1"/>
  <c r="V168" i="1"/>
  <c r="U168" i="1"/>
  <c r="T168" i="1"/>
  <c r="I168" i="1"/>
  <c r="G168" i="1"/>
  <c r="V167" i="1"/>
  <c r="U167" i="1"/>
  <c r="T167" i="1"/>
  <c r="I167" i="1"/>
  <c r="G167" i="1"/>
  <c r="V166" i="1"/>
  <c r="U166" i="1"/>
  <c r="T166" i="1"/>
  <c r="I166" i="1"/>
  <c r="G166" i="1"/>
  <c r="V165" i="1"/>
  <c r="U165" i="1"/>
  <c r="T165" i="1"/>
  <c r="I165" i="1"/>
  <c r="G165" i="1"/>
  <c r="V164" i="1"/>
  <c r="U164" i="1"/>
  <c r="T164" i="1"/>
  <c r="I164" i="1"/>
  <c r="G164" i="1"/>
  <c r="V163" i="1"/>
  <c r="U163" i="1"/>
  <c r="T163" i="1"/>
  <c r="I163" i="1"/>
  <c r="G163" i="1"/>
  <c r="V162" i="1"/>
  <c r="U162" i="1"/>
  <c r="T162" i="1"/>
  <c r="I162" i="1"/>
  <c r="G162" i="1"/>
  <c r="AH161" i="1"/>
  <c r="AG161" i="1"/>
  <c r="AF161" i="1"/>
  <c r="AD161" i="1"/>
  <c r="AC161" i="1"/>
  <c r="AB161" i="1"/>
  <c r="Z161" i="1"/>
  <c r="Y161" i="1"/>
  <c r="X161" i="1"/>
  <c r="V161" i="1"/>
  <c r="U161" i="1"/>
  <c r="T161" i="1"/>
  <c r="I161" i="1"/>
  <c r="G161" i="1"/>
  <c r="AH160" i="1"/>
  <c r="AG160" i="1"/>
  <c r="AF160" i="1"/>
  <c r="AD160" i="1"/>
  <c r="AC160" i="1"/>
  <c r="AB160" i="1"/>
  <c r="Z160" i="1"/>
  <c r="Y160" i="1"/>
  <c r="X160" i="1"/>
  <c r="V160" i="1"/>
  <c r="U160" i="1"/>
  <c r="T160" i="1"/>
  <c r="I160" i="1"/>
  <c r="G160" i="1"/>
  <c r="V159" i="1"/>
  <c r="U159" i="1"/>
  <c r="T159" i="1"/>
  <c r="I159" i="1"/>
  <c r="G159" i="1"/>
  <c r="V158" i="1"/>
  <c r="U158" i="1"/>
  <c r="T158" i="1"/>
  <c r="I158" i="1"/>
  <c r="G158" i="1"/>
  <c r="V157" i="1"/>
  <c r="U157" i="1"/>
  <c r="T157" i="1"/>
  <c r="I157" i="1"/>
  <c r="G157" i="1"/>
  <c r="V156" i="1"/>
  <c r="U156" i="1"/>
  <c r="T156" i="1"/>
  <c r="I156" i="1"/>
  <c r="G156" i="1"/>
  <c r="V155" i="1"/>
  <c r="U155" i="1"/>
  <c r="T155" i="1"/>
  <c r="I155" i="1"/>
  <c r="G155" i="1"/>
  <c r="V154" i="1"/>
  <c r="U154" i="1"/>
  <c r="T154" i="1"/>
  <c r="M154" i="1"/>
  <c r="I154" i="1"/>
  <c r="G154" i="1"/>
  <c r="E154" i="1"/>
  <c r="V153" i="1"/>
  <c r="U153" i="1"/>
  <c r="T153" i="1"/>
  <c r="I153" i="1"/>
  <c r="G153" i="1"/>
  <c r="V152" i="1"/>
  <c r="U152" i="1"/>
  <c r="T152" i="1"/>
  <c r="I152" i="1"/>
  <c r="G152" i="1"/>
  <c r="V151" i="1"/>
  <c r="U151" i="1"/>
  <c r="T151" i="1"/>
  <c r="I151" i="1"/>
  <c r="G151" i="1"/>
  <c r="V150" i="1"/>
  <c r="U150" i="1"/>
  <c r="T150" i="1"/>
  <c r="I150" i="1"/>
  <c r="G150" i="1"/>
  <c r="V149" i="1"/>
  <c r="U149" i="1"/>
  <c r="T149" i="1"/>
  <c r="M149" i="1"/>
  <c r="I149" i="1"/>
  <c r="G149" i="1"/>
  <c r="E149" i="1"/>
  <c r="V148" i="1"/>
  <c r="U148" i="1"/>
  <c r="T148" i="1"/>
  <c r="M148" i="1"/>
  <c r="I148" i="1"/>
  <c r="G148" i="1"/>
  <c r="E148" i="1"/>
  <c r="V147" i="1"/>
  <c r="U147" i="1"/>
  <c r="T147" i="1"/>
  <c r="M147" i="1"/>
  <c r="I147" i="1"/>
  <c r="G147" i="1"/>
  <c r="E147" i="1"/>
  <c r="V146" i="1"/>
  <c r="U146" i="1"/>
  <c r="T146" i="1"/>
  <c r="M146" i="1"/>
  <c r="I146" i="1"/>
  <c r="G146" i="1"/>
  <c r="E146" i="1"/>
  <c r="V145" i="1"/>
  <c r="U145" i="1"/>
  <c r="T145" i="1"/>
  <c r="M145" i="1"/>
  <c r="I145" i="1"/>
  <c r="G145" i="1"/>
  <c r="E145" i="1"/>
  <c r="V144" i="1"/>
  <c r="U144" i="1"/>
  <c r="T144" i="1"/>
  <c r="M144" i="1"/>
  <c r="I144" i="1"/>
  <c r="G144" i="1"/>
  <c r="E144" i="1"/>
  <c r="V143" i="1"/>
  <c r="U143" i="1"/>
  <c r="T143" i="1"/>
  <c r="I143" i="1"/>
  <c r="G143" i="1"/>
  <c r="V142" i="1"/>
  <c r="U142" i="1"/>
  <c r="T142" i="1"/>
  <c r="I142" i="1"/>
  <c r="G142" i="1"/>
  <c r="V141" i="1"/>
  <c r="U141" i="1"/>
  <c r="T141" i="1"/>
  <c r="I141" i="1"/>
  <c r="G141" i="1"/>
  <c r="V140" i="1"/>
  <c r="U140" i="1"/>
  <c r="T140" i="1"/>
  <c r="I140" i="1"/>
  <c r="G140" i="1"/>
  <c r="V139" i="1"/>
  <c r="U139" i="1"/>
  <c r="T139" i="1"/>
  <c r="I139" i="1"/>
  <c r="G139" i="1"/>
  <c r="V138" i="1"/>
  <c r="U138" i="1"/>
  <c r="T138" i="1"/>
  <c r="I138" i="1"/>
  <c r="G138" i="1"/>
  <c r="V137" i="1"/>
  <c r="U137" i="1"/>
  <c r="T137" i="1"/>
  <c r="I137" i="1"/>
  <c r="G137" i="1"/>
  <c r="V136" i="1"/>
  <c r="U136" i="1"/>
  <c r="T136" i="1"/>
  <c r="I136" i="1"/>
  <c r="G136" i="1"/>
  <c r="V135" i="1"/>
  <c r="U135" i="1"/>
  <c r="T135" i="1"/>
  <c r="I135" i="1"/>
  <c r="G135" i="1"/>
  <c r="V134" i="1"/>
  <c r="U134" i="1"/>
  <c r="T134" i="1"/>
  <c r="I134" i="1"/>
  <c r="G134" i="1"/>
  <c r="V133" i="1"/>
  <c r="U133" i="1"/>
  <c r="T133" i="1"/>
  <c r="I133" i="1"/>
  <c r="G133" i="1"/>
  <c r="V132" i="1"/>
  <c r="U132" i="1"/>
  <c r="T132" i="1"/>
  <c r="I132" i="1"/>
  <c r="G132" i="1"/>
  <c r="V131" i="1"/>
  <c r="U131" i="1"/>
  <c r="T131" i="1"/>
  <c r="I131" i="1"/>
  <c r="G131" i="1"/>
  <c r="AH130" i="1"/>
  <c r="AG130" i="1"/>
  <c r="AF130" i="1"/>
  <c r="AD130" i="1"/>
  <c r="AC130" i="1"/>
  <c r="AB130" i="1"/>
  <c r="Z130" i="1"/>
  <c r="Y130" i="1"/>
  <c r="X130" i="1"/>
  <c r="V130" i="1"/>
  <c r="U130" i="1"/>
  <c r="T130" i="1"/>
  <c r="I130" i="1"/>
  <c r="G130" i="1"/>
  <c r="V129" i="1"/>
  <c r="U129" i="1"/>
  <c r="T129" i="1"/>
  <c r="I129" i="1"/>
  <c r="G129" i="1"/>
  <c r="V128" i="1"/>
  <c r="U128" i="1"/>
  <c r="T128" i="1"/>
  <c r="I128" i="1"/>
  <c r="G128" i="1"/>
  <c r="V127" i="1"/>
  <c r="U127" i="1"/>
  <c r="T127" i="1"/>
  <c r="I127" i="1"/>
  <c r="G127" i="1"/>
  <c r="V126" i="1"/>
  <c r="U126" i="1"/>
  <c r="T126" i="1"/>
  <c r="I126" i="1"/>
  <c r="G126" i="1"/>
  <c r="V125" i="1"/>
  <c r="U125" i="1"/>
  <c r="T125" i="1"/>
  <c r="I125" i="1"/>
  <c r="G125" i="1"/>
  <c r="V124" i="1"/>
  <c r="U124" i="1"/>
  <c r="T124" i="1"/>
  <c r="I124" i="1"/>
  <c r="G124" i="1"/>
  <c r="V123" i="1"/>
  <c r="U123" i="1"/>
  <c r="T123" i="1"/>
  <c r="I123" i="1"/>
  <c r="G123" i="1"/>
  <c r="V122" i="1"/>
  <c r="U122" i="1"/>
  <c r="T122" i="1"/>
  <c r="I122" i="1"/>
  <c r="G122" i="1"/>
  <c r="V121" i="1"/>
  <c r="U121" i="1"/>
  <c r="T121" i="1"/>
  <c r="I121" i="1"/>
  <c r="G121" i="1"/>
  <c r="V120" i="1"/>
  <c r="U120" i="1"/>
  <c r="T120" i="1"/>
  <c r="I120" i="1"/>
  <c r="G120" i="1"/>
  <c r="V119" i="1"/>
  <c r="U119" i="1"/>
  <c r="T119" i="1"/>
  <c r="I119" i="1"/>
  <c r="G119" i="1"/>
  <c r="V118" i="1"/>
  <c r="U118" i="1"/>
  <c r="T118" i="1"/>
  <c r="I118" i="1"/>
  <c r="G118" i="1"/>
  <c r="V117" i="1"/>
  <c r="U117" i="1"/>
  <c r="T117" i="1"/>
  <c r="I117" i="1"/>
  <c r="G117" i="1"/>
  <c r="V116" i="1"/>
  <c r="U116" i="1"/>
  <c r="T116" i="1"/>
  <c r="I116" i="1"/>
  <c r="G116" i="1"/>
  <c r="V115" i="1"/>
  <c r="U115" i="1"/>
  <c r="T115" i="1"/>
  <c r="I115" i="1"/>
  <c r="G115" i="1"/>
  <c r="V114" i="1"/>
  <c r="U114" i="1"/>
  <c r="T114" i="1"/>
  <c r="I114" i="1"/>
  <c r="G114" i="1"/>
  <c r="V113" i="1"/>
  <c r="U113" i="1"/>
  <c r="T113" i="1"/>
  <c r="I113" i="1"/>
  <c r="G113" i="1"/>
  <c r="AH112" i="1"/>
  <c r="AG112" i="1"/>
  <c r="AF112" i="1"/>
  <c r="AD112" i="1"/>
  <c r="AC112" i="1"/>
  <c r="AB112" i="1"/>
  <c r="Z112" i="1"/>
  <c r="Y112" i="1"/>
  <c r="X112" i="1"/>
  <c r="V112" i="1"/>
  <c r="U112" i="1"/>
  <c r="T112" i="1"/>
  <c r="I112" i="1"/>
  <c r="G112" i="1"/>
  <c r="V111" i="1"/>
  <c r="U111" i="1"/>
  <c r="T111" i="1"/>
  <c r="I111" i="1"/>
  <c r="G111" i="1"/>
  <c r="V110" i="1"/>
  <c r="U110" i="1"/>
  <c r="T110" i="1"/>
  <c r="I110" i="1"/>
  <c r="G110" i="1"/>
  <c r="V109" i="1"/>
  <c r="U109" i="1"/>
  <c r="T109" i="1"/>
  <c r="I109" i="1"/>
  <c r="G109" i="1"/>
  <c r="V108" i="1"/>
  <c r="U108" i="1"/>
  <c r="T108" i="1"/>
  <c r="I108" i="1"/>
  <c r="G108" i="1"/>
  <c r="V107" i="1"/>
  <c r="U107" i="1"/>
  <c r="T107" i="1"/>
  <c r="I107" i="1"/>
  <c r="G107" i="1"/>
  <c r="V106" i="1"/>
  <c r="U106" i="1"/>
  <c r="T106" i="1"/>
  <c r="I106" i="1"/>
  <c r="G106" i="1"/>
  <c r="V105" i="1"/>
  <c r="U105" i="1"/>
  <c r="T105" i="1"/>
  <c r="I105" i="1"/>
  <c r="G105" i="1"/>
  <c r="V104" i="1"/>
  <c r="U104" i="1"/>
  <c r="T104" i="1"/>
  <c r="I104" i="1"/>
  <c r="G104" i="1"/>
  <c r="V103" i="1"/>
  <c r="U103" i="1"/>
  <c r="T103" i="1"/>
  <c r="I103" i="1"/>
  <c r="G103" i="1"/>
  <c r="V102" i="1"/>
  <c r="U102" i="1"/>
  <c r="T102" i="1"/>
  <c r="I102" i="1"/>
  <c r="G102" i="1"/>
  <c r="V101" i="1"/>
  <c r="U101" i="1"/>
  <c r="T101" i="1"/>
  <c r="I101" i="1"/>
  <c r="G101" i="1"/>
  <c r="V100" i="1"/>
  <c r="U100" i="1"/>
  <c r="T100" i="1"/>
  <c r="I100" i="1"/>
  <c r="G100" i="1"/>
  <c r="V99" i="1"/>
  <c r="U99" i="1"/>
  <c r="T99" i="1"/>
  <c r="I99" i="1"/>
  <c r="G99" i="1"/>
  <c r="V98" i="1"/>
  <c r="U98" i="1"/>
  <c r="T98" i="1"/>
  <c r="I98" i="1"/>
  <c r="G98" i="1"/>
  <c r="V97" i="1"/>
  <c r="U97" i="1"/>
  <c r="T97" i="1"/>
  <c r="I97" i="1"/>
  <c r="G97" i="1"/>
  <c r="V96" i="1"/>
  <c r="U96" i="1"/>
  <c r="T96" i="1"/>
  <c r="I96" i="1"/>
  <c r="G96" i="1"/>
  <c r="V95" i="1"/>
  <c r="U95" i="1"/>
  <c r="T95" i="1"/>
  <c r="I95" i="1"/>
  <c r="G95" i="1"/>
  <c r="V94" i="1"/>
  <c r="U94" i="1"/>
  <c r="T94" i="1"/>
  <c r="I94" i="1"/>
  <c r="G94" i="1"/>
  <c r="V93" i="1"/>
  <c r="U93" i="1"/>
  <c r="T93" i="1"/>
  <c r="I93" i="1"/>
  <c r="G93" i="1"/>
  <c r="V92" i="1"/>
  <c r="U92" i="1"/>
  <c r="T92" i="1"/>
  <c r="I92" i="1"/>
  <c r="G92" i="1"/>
  <c r="V91" i="1"/>
  <c r="U91" i="1"/>
  <c r="T91" i="1"/>
  <c r="I91" i="1"/>
  <c r="G91" i="1"/>
  <c r="V90" i="1"/>
  <c r="U90" i="1"/>
  <c r="T90" i="1"/>
  <c r="I90" i="1"/>
  <c r="G90" i="1"/>
  <c r="V89" i="1"/>
  <c r="U89" i="1"/>
  <c r="T89" i="1"/>
  <c r="I89" i="1"/>
  <c r="G89" i="1"/>
  <c r="V88" i="1"/>
  <c r="U88" i="1"/>
  <c r="T88" i="1"/>
  <c r="I88" i="1"/>
  <c r="G88" i="1"/>
  <c r="V87" i="1"/>
  <c r="U87" i="1"/>
  <c r="T87" i="1"/>
  <c r="I87" i="1"/>
  <c r="G87" i="1"/>
  <c r="V86" i="1"/>
  <c r="U86" i="1"/>
  <c r="T86" i="1"/>
  <c r="I86" i="1"/>
  <c r="G86" i="1"/>
  <c r="V85" i="1"/>
  <c r="U85" i="1"/>
  <c r="T85" i="1"/>
  <c r="I85" i="1"/>
  <c r="G85" i="1"/>
  <c r="V84" i="1"/>
  <c r="U84" i="1"/>
  <c r="T84" i="1"/>
  <c r="I84" i="1"/>
  <c r="G84" i="1"/>
  <c r="AH83" i="1"/>
  <c r="AG83" i="1"/>
  <c r="AF83" i="1"/>
  <c r="AD83" i="1"/>
  <c r="AC83" i="1"/>
  <c r="AB83" i="1"/>
  <c r="Z83" i="1"/>
  <c r="Y83" i="1"/>
  <c r="X83" i="1"/>
  <c r="V83" i="1"/>
  <c r="U83" i="1"/>
  <c r="T83" i="1"/>
  <c r="I83" i="1"/>
  <c r="G83" i="1"/>
  <c r="V82" i="1"/>
  <c r="U82" i="1"/>
  <c r="T82" i="1"/>
  <c r="I82" i="1"/>
  <c r="G82" i="1"/>
  <c r="V81" i="1"/>
  <c r="U81" i="1"/>
  <c r="T81" i="1"/>
  <c r="I81" i="1"/>
  <c r="G81" i="1"/>
  <c r="V80" i="1"/>
  <c r="U80" i="1"/>
  <c r="T80" i="1"/>
  <c r="I80" i="1"/>
  <c r="G80" i="1"/>
  <c r="V79" i="1"/>
  <c r="U79" i="1"/>
  <c r="T79" i="1"/>
  <c r="I79" i="1"/>
  <c r="G79" i="1"/>
  <c r="V78" i="1"/>
  <c r="U78" i="1"/>
  <c r="T78" i="1"/>
  <c r="I78" i="1"/>
  <c r="G78" i="1"/>
  <c r="V77" i="1"/>
  <c r="U77" i="1"/>
  <c r="T77" i="1"/>
  <c r="I77" i="1"/>
  <c r="G77" i="1"/>
  <c r="V76" i="1"/>
  <c r="U76" i="1"/>
  <c r="T76" i="1"/>
  <c r="I76" i="1"/>
  <c r="G76" i="1"/>
  <c r="V75" i="1"/>
  <c r="U75" i="1"/>
  <c r="T75" i="1"/>
  <c r="I75" i="1"/>
  <c r="G75" i="1"/>
  <c r="V74" i="1"/>
  <c r="U74" i="1"/>
  <c r="T74" i="1"/>
  <c r="I74" i="1"/>
  <c r="G74" i="1"/>
  <c r="V73" i="1"/>
  <c r="U73" i="1"/>
  <c r="T73" i="1"/>
  <c r="I73" i="1"/>
  <c r="G73" i="1"/>
  <c r="V72" i="1"/>
  <c r="U72" i="1"/>
  <c r="T72" i="1"/>
  <c r="I72" i="1"/>
  <c r="G72" i="1"/>
  <c r="V71" i="1"/>
  <c r="U71" i="1"/>
  <c r="T71" i="1"/>
  <c r="I71" i="1"/>
  <c r="G71" i="1"/>
  <c r="V70" i="1"/>
  <c r="U70" i="1"/>
  <c r="T70" i="1"/>
  <c r="I70" i="1"/>
  <c r="G70" i="1"/>
  <c r="V69" i="1"/>
  <c r="U69" i="1"/>
  <c r="T69" i="1"/>
  <c r="I69" i="1"/>
  <c r="G69" i="1"/>
  <c r="V68" i="1"/>
  <c r="U68" i="1"/>
  <c r="T68" i="1"/>
  <c r="I68" i="1"/>
  <c r="G68" i="1"/>
  <c r="V67" i="1"/>
  <c r="U67" i="1"/>
  <c r="T67" i="1"/>
  <c r="I67" i="1"/>
  <c r="G67" i="1"/>
  <c r="V66" i="1"/>
  <c r="U66" i="1"/>
  <c r="T66" i="1"/>
  <c r="I66" i="1"/>
  <c r="G66" i="1"/>
  <c r="V65" i="1"/>
  <c r="U65" i="1"/>
  <c r="T65" i="1"/>
  <c r="I65" i="1"/>
  <c r="G65" i="1"/>
  <c r="V64" i="1"/>
  <c r="U64" i="1"/>
  <c r="T64" i="1"/>
  <c r="I64" i="1"/>
  <c r="G64" i="1"/>
  <c r="V63" i="1"/>
  <c r="U63" i="1"/>
  <c r="T63" i="1"/>
  <c r="I63" i="1"/>
  <c r="G63" i="1"/>
  <c r="V62" i="1"/>
  <c r="U62" i="1"/>
  <c r="T62" i="1"/>
  <c r="I62" i="1"/>
  <c r="G62" i="1"/>
  <c r="V61" i="1"/>
  <c r="U61" i="1"/>
  <c r="T61" i="1"/>
  <c r="I61" i="1"/>
  <c r="G61" i="1"/>
  <c r="V60" i="1"/>
  <c r="U60" i="1"/>
  <c r="T60" i="1"/>
  <c r="I60" i="1"/>
  <c r="G60" i="1"/>
  <c r="V59" i="1"/>
  <c r="U59" i="1"/>
  <c r="T59" i="1"/>
  <c r="I59" i="1"/>
  <c r="G59" i="1"/>
  <c r="V58" i="1"/>
  <c r="U58" i="1"/>
  <c r="T58" i="1"/>
  <c r="I58" i="1"/>
  <c r="G58" i="1"/>
  <c r="V57" i="1"/>
  <c r="U57" i="1"/>
  <c r="T57" i="1"/>
  <c r="I57" i="1"/>
  <c r="G57" i="1"/>
  <c r="V56" i="1"/>
  <c r="U56" i="1"/>
  <c r="T56" i="1"/>
  <c r="I56" i="1"/>
  <c r="G56" i="1"/>
  <c r="V55" i="1"/>
  <c r="U55" i="1"/>
  <c r="T55" i="1"/>
  <c r="I55" i="1"/>
  <c r="G55" i="1"/>
  <c r="V54" i="1"/>
  <c r="U54" i="1"/>
  <c r="T54" i="1"/>
  <c r="I54" i="1"/>
  <c r="G54" i="1"/>
  <c r="AH53" i="1"/>
  <c r="AG53" i="1"/>
  <c r="AF53" i="1"/>
  <c r="AD53" i="1"/>
  <c r="AC53" i="1"/>
  <c r="AB53" i="1"/>
  <c r="Z53" i="1"/>
  <c r="Y53" i="1"/>
  <c r="X53" i="1"/>
  <c r="V53" i="1"/>
  <c r="U53" i="1"/>
  <c r="T53" i="1"/>
  <c r="I53" i="1"/>
  <c r="G53" i="1"/>
  <c r="AH52" i="1"/>
  <c r="AG52" i="1"/>
  <c r="AF52" i="1"/>
  <c r="AD52" i="1"/>
  <c r="AC52" i="1"/>
  <c r="AB52" i="1"/>
  <c r="Z52" i="1"/>
  <c r="Y52" i="1"/>
  <c r="X52" i="1"/>
  <c r="V52" i="1"/>
  <c r="U52" i="1"/>
  <c r="T52" i="1"/>
  <c r="I52" i="1"/>
  <c r="G52" i="1"/>
  <c r="V51" i="1"/>
  <c r="U51" i="1"/>
  <c r="T51" i="1"/>
  <c r="I51" i="1"/>
  <c r="G51" i="1"/>
  <c r="V50" i="1"/>
  <c r="U50" i="1"/>
  <c r="T50" i="1"/>
  <c r="I50" i="1"/>
  <c r="G50" i="1"/>
  <c r="V49" i="1"/>
  <c r="U49" i="1"/>
  <c r="T49" i="1"/>
  <c r="I49" i="1"/>
  <c r="G49" i="1"/>
  <c r="V48" i="1"/>
  <c r="U48" i="1"/>
  <c r="T48" i="1"/>
  <c r="I48" i="1"/>
  <c r="G48" i="1"/>
  <c r="V47" i="1"/>
  <c r="U47" i="1"/>
  <c r="T47" i="1"/>
  <c r="I47" i="1"/>
  <c r="G47" i="1"/>
  <c r="V46" i="1"/>
  <c r="U46" i="1"/>
  <c r="T46" i="1"/>
  <c r="I46" i="1"/>
  <c r="G46" i="1"/>
  <c r="V45" i="1"/>
  <c r="U45" i="1"/>
  <c r="T45" i="1"/>
  <c r="I45" i="1"/>
  <c r="G45" i="1"/>
  <c r="V44" i="1"/>
  <c r="U44" i="1"/>
  <c r="T44" i="1"/>
  <c r="I44" i="1"/>
  <c r="G44" i="1"/>
  <c r="AH43" i="1"/>
  <c r="AG43" i="1"/>
  <c r="AF43" i="1"/>
  <c r="AD43" i="1"/>
  <c r="AC43" i="1"/>
  <c r="AB43" i="1"/>
  <c r="Z43" i="1"/>
  <c r="Y43" i="1"/>
  <c r="X43" i="1"/>
  <c r="V43" i="1"/>
  <c r="U43" i="1"/>
  <c r="T43" i="1"/>
  <c r="I43" i="1"/>
  <c r="G43" i="1"/>
  <c r="AH42" i="1"/>
  <c r="AG42" i="1"/>
  <c r="AF42" i="1"/>
  <c r="AD42" i="1"/>
  <c r="AC42" i="1"/>
  <c r="AB42" i="1"/>
  <c r="Z42" i="1"/>
  <c r="Y42" i="1"/>
  <c r="X42" i="1"/>
  <c r="V42" i="1"/>
  <c r="U42" i="1"/>
  <c r="T42" i="1"/>
  <c r="I42" i="1"/>
  <c r="G42" i="1"/>
  <c r="AH41" i="1"/>
  <c r="AG41" i="1"/>
  <c r="AF41" i="1"/>
  <c r="AD41" i="1"/>
  <c r="AC41" i="1"/>
  <c r="AB41" i="1"/>
  <c r="Z41" i="1"/>
  <c r="Y41" i="1"/>
  <c r="X41" i="1"/>
  <c r="V41" i="1"/>
  <c r="U41" i="1"/>
  <c r="T41" i="1"/>
  <c r="I41" i="1"/>
  <c r="G41" i="1"/>
  <c r="AH40" i="1"/>
  <c r="AG40" i="1"/>
  <c r="AF40" i="1"/>
  <c r="AD40" i="1"/>
  <c r="AC40" i="1"/>
  <c r="AB40" i="1"/>
  <c r="Z40" i="1"/>
  <c r="Y40" i="1"/>
  <c r="X40" i="1"/>
  <c r="V40" i="1"/>
  <c r="U40" i="1"/>
  <c r="T40" i="1"/>
  <c r="I40" i="1"/>
  <c r="G40" i="1"/>
  <c r="V39" i="1"/>
  <c r="U39" i="1"/>
  <c r="T39" i="1"/>
  <c r="I39" i="1"/>
  <c r="G39" i="1"/>
  <c r="V38" i="1"/>
  <c r="U38" i="1"/>
  <c r="T38" i="1"/>
  <c r="I38" i="1"/>
  <c r="G38" i="1"/>
  <c r="V37" i="1"/>
  <c r="U37" i="1"/>
  <c r="T37" i="1"/>
  <c r="I37" i="1"/>
  <c r="G37" i="1"/>
  <c r="V36" i="1"/>
  <c r="U36" i="1"/>
  <c r="T36" i="1"/>
  <c r="I36" i="1"/>
  <c r="G36" i="1"/>
  <c r="V35" i="1"/>
  <c r="U35" i="1"/>
  <c r="T35" i="1"/>
  <c r="I35" i="1"/>
  <c r="G35" i="1"/>
  <c r="V34" i="1"/>
  <c r="U34" i="1"/>
  <c r="T34" i="1"/>
  <c r="I34" i="1"/>
  <c r="G34" i="1"/>
  <c r="V33" i="1"/>
  <c r="U33" i="1"/>
  <c r="T33" i="1"/>
  <c r="I33" i="1"/>
  <c r="G33" i="1"/>
  <c r="V32" i="1"/>
  <c r="U32" i="1"/>
  <c r="T32" i="1"/>
  <c r="I32" i="1"/>
  <c r="G32" i="1"/>
  <c r="V31" i="1"/>
  <c r="U31" i="1"/>
  <c r="T31" i="1"/>
  <c r="I31" i="1"/>
  <c r="G31" i="1"/>
  <c r="V30" i="1"/>
  <c r="U30" i="1"/>
  <c r="T30" i="1"/>
  <c r="I30" i="1"/>
  <c r="G30" i="1"/>
  <c r="V29" i="1"/>
  <c r="U29" i="1"/>
  <c r="T29" i="1"/>
  <c r="I29" i="1"/>
  <c r="G29" i="1"/>
  <c r="V28" i="1"/>
  <c r="U28" i="1"/>
  <c r="T28" i="1"/>
  <c r="I28" i="1"/>
  <c r="G28" i="1"/>
  <c r="V27" i="1"/>
  <c r="U27" i="1"/>
  <c r="T27" i="1"/>
  <c r="I27" i="1"/>
  <c r="G27" i="1"/>
  <c r="V26" i="1"/>
  <c r="U26" i="1"/>
  <c r="T26" i="1"/>
  <c r="I26" i="1"/>
  <c r="G26" i="1"/>
  <c r="V25" i="1"/>
  <c r="U25" i="1"/>
  <c r="T25" i="1"/>
  <c r="I25" i="1"/>
  <c r="G25" i="1"/>
  <c r="V24" i="1"/>
  <c r="U24" i="1"/>
  <c r="T24" i="1"/>
  <c r="I24" i="1"/>
  <c r="G24" i="1"/>
  <c r="V23" i="1"/>
  <c r="U23" i="1"/>
  <c r="T23" i="1"/>
  <c r="I23" i="1"/>
  <c r="G23" i="1"/>
  <c r="V22" i="1"/>
  <c r="U22" i="1"/>
  <c r="T22" i="1"/>
  <c r="I22" i="1"/>
  <c r="G22" i="1"/>
  <c r="V21" i="1"/>
  <c r="U21" i="1"/>
  <c r="T21" i="1"/>
  <c r="I21" i="1"/>
  <c r="G21" i="1"/>
  <c r="V20" i="1"/>
  <c r="U20" i="1"/>
  <c r="T20" i="1"/>
  <c r="I20" i="1"/>
  <c r="G20" i="1"/>
  <c r="V19" i="1"/>
  <c r="U19" i="1"/>
  <c r="T19" i="1"/>
  <c r="I19" i="1"/>
  <c r="G19" i="1"/>
  <c r="V18" i="1"/>
  <c r="U18" i="1"/>
  <c r="T18" i="1"/>
  <c r="I18" i="1"/>
  <c r="G18" i="1"/>
  <c r="V17" i="1"/>
  <c r="U17" i="1"/>
  <c r="T17" i="1"/>
  <c r="I17" i="1"/>
  <c r="G17" i="1"/>
  <c r="V16" i="1"/>
  <c r="U16" i="1"/>
  <c r="T16" i="1"/>
  <c r="I16" i="1"/>
  <c r="G16" i="1"/>
  <c r="V15" i="1"/>
  <c r="U15" i="1"/>
  <c r="T15" i="1"/>
  <c r="I15" i="1"/>
  <c r="G15" i="1"/>
  <c r="V14" i="1"/>
  <c r="U14" i="1"/>
  <c r="T14" i="1"/>
  <c r="I14" i="1"/>
  <c r="G14" i="1"/>
  <c r="V13" i="1"/>
  <c r="U13" i="1"/>
  <c r="T13" i="1"/>
  <c r="I13" i="1"/>
  <c r="G13" i="1"/>
  <c r="V12" i="1"/>
  <c r="U12" i="1"/>
  <c r="T12" i="1"/>
  <c r="I12" i="1"/>
  <c r="G12" i="1"/>
  <c r="V11" i="1"/>
  <c r="U11" i="1"/>
  <c r="T11" i="1"/>
  <c r="I11" i="1"/>
  <c r="G11" i="1"/>
  <c r="V10" i="1"/>
  <c r="U10" i="1"/>
  <c r="T10" i="1"/>
  <c r="I10" i="1"/>
  <c r="G10" i="1"/>
  <c r="V9" i="1"/>
  <c r="U9" i="1"/>
  <c r="T9" i="1"/>
  <c r="I9" i="1"/>
  <c r="G9" i="1"/>
  <c r="V8" i="1"/>
  <c r="U8" i="1"/>
  <c r="T8" i="1"/>
  <c r="I8" i="1"/>
  <c r="G8" i="1"/>
  <c r="Y5" i="1"/>
  <c r="X5" i="1"/>
  <c r="W5" i="1"/>
  <c r="V5" i="1"/>
  <c r="U5" i="1"/>
  <c r="T5" i="1"/>
  <c r="S5" i="1"/>
  <c r="R5" i="1"/>
  <c r="P5" i="1"/>
  <c r="N5" i="1"/>
  <c r="M5" i="1"/>
  <c r="L5" i="1"/>
  <c r="K5" i="1"/>
  <c r="J5" i="1"/>
  <c r="I5" i="1"/>
  <c r="H5" i="1"/>
  <c r="G5" i="1"/>
  <c r="F5" i="1"/>
  <c r="E5" i="1"/>
  <c r="D5" i="1"/>
  <c r="C5" i="1"/>
  <c r="B5" i="1"/>
  <c r="Y4" i="1"/>
  <c r="X4" i="1"/>
  <c r="W4" i="1"/>
  <c r="V4" i="1"/>
  <c r="U4" i="1"/>
  <c r="T4" i="1"/>
  <c r="S4" i="1"/>
  <c r="R4" i="1"/>
  <c r="P4" i="1"/>
  <c r="N4" i="1"/>
  <c r="M4" i="1"/>
  <c r="L4" i="1"/>
  <c r="K4" i="1"/>
  <c r="J4" i="1"/>
  <c r="I4" i="1"/>
  <c r="H4" i="1"/>
  <c r="G4" i="1"/>
  <c r="F4" i="1"/>
  <c r="E4" i="1"/>
  <c r="D4" i="1"/>
  <c r="C4" i="1"/>
  <c r="B4" i="1"/>
  <c r="Y3" i="1"/>
  <c r="X3" i="1"/>
  <c r="W3" i="1"/>
  <c r="V3" i="1"/>
  <c r="U3" i="1"/>
  <c r="T3" i="1"/>
  <c r="S3" i="1"/>
  <c r="R3" i="1"/>
  <c r="P3" i="1"/>
  <c r="N3" i="1"/>
  <c r="M3" i="1"/>
  <c r="L3" i="1"/>
  <c r="K3" i="1"/>
  <c r="J3" i="1"/>
  <c r="I3" i="1"/>
  <c r="H3" i="1"/>
  <c r="G3" i="1"/>
  <c r="F3" i="1"/>
  <c r="E3" i="1"/>
  <c r="D3" i="1"/>
  <c r="C3" i="1"/>
  <c r="B3" i="1"/>
</calcChain>
</file>

<file path=xl/sharedStrings.xml><?xml version="1.0" encoding="utf-8"?>
<sst xmlns="http://schemas.openxmlformats.org/spreadsheetml/2006/main" count="2168" uniqueCount="847">
  <si>
    <t>カテゴリー1-1</t>
  </si>
  <si>
    <t>カテゴリー1-2</t>
  </si>
  <si>
    <t>カテゴリー2-1</t>
  </si>
  <si>
    <t>カテゴリー2-2</t>
  </si>
  <si>
    <t>カテゴリー3-1</t>
  </si>
  <si>
    <t>カテゴリー3-2</t>
  </si>
  <si>
    <t>カテゴリー4-1</t>
  </si>
  <si>
    <t>カテゴリー4-2</t>
  </si>
  <si>
    <t>カテゴリー5-1</t>
  </si>
  <si>
    <t>カテゴリー5-2</t>
  </si>
  <si>
    <t>カテゴリー6-1</t>
  </si>
  <si>
    <t>カテゴリー6-2</t>
  </si>
  <si>
    <t>カテゴリー7-1</t>
  </si>
  <si>
    <t>カテゴリー7-2</t>
  </si>
  <si>
    <t>カテゴリー8-1</t>
  </si>
  <si>
    <t>カテゴリー8-2</t>
  </si>
  <si>
    <t>カテゴリー9-1</t>
  </si>
  <si>
    <t>カテゴリー9-2</t>
  </si>
  <si>
    <t>カテゴリー10-1</t>
  </si>
  <si>
    <t>カテゴリー10-2</t>
  </si>
  <si>
    <t>カテゴリー11-1</t>
  </si>
  <si>
    <t>カテゴリー11-2</t>
  </si>
  <si>
    <t>カテゴリー12-1</t>
  </si>
  <si>
    <t>カテゴリー12-2</t>
  </si>
  <si>
    <t>日本語</t>
  </si>
  <si>
    <t>温かい</t>
  </si>
  <si>
    <t>極太うどん</t>
  </si>
  <si>
    <t>温かい　</t>
  </si>
  <si>
    <t>青のりｳﾄﾞﾝ</t>
  </si>
  <si>
    <t>冷たい</t>
  </si>
  <si>
    <t>季節限定</t>
  </si>
  <si>
    <t>トッピング</t>
  </si>
  <si>
    <t>ドリンク類</t>
  </si>
  <si>
    <t>新メニュー</t>
  </si>
  <si>
    <t>限定メニュ</t>
  </si>
  <si>
    <t>その他</t>
  </si>
  <si>
    <t>単品料理</t>
  </si>
  <si>
    <t>ごはんもの</t>
  </si>
  <si>
    <t>小うどん</t>
  </si>
  <si>
    <t>持ち帰り</t>
  </si>
  <si>
    <t>英語</t>
  </si>
  <si>
    <t>韓国</t>
  </si>
  <si>
    <t>中国語</t>
  </si>
  <si>
    <t>商品名</t>
  </si>
  <si>
    <t>表示商品名1(日)</t>
  </si>
  <si>
    <t>表示商品名2(日)</t>
  </si>
  <si>
    <t>表示商品名1(英)</t>
  </si>
  <si>
    <t>表示商品名2(英)</t>
  </si>
  <si>
    <t>表示商品名1(韓)</t>
  </si>
  <si>
    <t>表示商品名2(韓)</t>
  </si>
  <si>
    <t>表示商品名1(中)</t>
  </si>
  <si>
    <t>表示商品名2(中)</t>
  </si>
  <si>
    <t>印刷商品名1(日)</t>
  </si>
  <si>
    <t>印刷商品名2(日)</t>
  </si>
  <si>
    <t>印刷商品名1(英)</t>
  </si>
  <si>
    <t>印刷商品名2(英)</t>
  </si>
  <si>
    <t>印刷商品名1(韓)</t>
  </si>
  <si>
    <t>印刷商品名2(韓)</t>
  </si>
  <si>
    <t>印刷商品名1(中)</t>
  </si>
  <si>
    <t>印刷商品名2(中)</t>
  </si>
  <si>
    <t>商品リスト省略名(日)</t>
  </si>
  <si>
    <t>商品リスト省略名(英)</t>
  </si>
  <si>
    <t>商品リスト省略名(韓)</t>
  </si>
  <si>
    <t>商品リスト省略名(中)</t>
  </si>
  <si>
    <t>味変設定1(日)</t>
  </si>
  <si>
    <t>味変設定1(英)</t>
  </si>
  <si>
    <t>味変設定1(韓)</t>
  </si>
  <si>
    <t>味変設定1(中)</t>
  </si>
  <si>
    <t>味変1候補1(日)</t>
  </si>
  <si>
    <t>味変1候補1(英)</t>
  </si>
  <si>
    <t>味変1候補1(韓)</t>
  </si>
  <si>
    <t>味変1候補1(中)</t>
  </si>
  <si>
    <t>味変1候補2(日)</t>
  </si>
  <si>
    <t>味変1候補2(英)</t>
  </si>
  <si>
    <t>味変1候補2(韓)</t>
  </si>
  <si>
    <t>味変1候補2(中)</t>
  </si>
  <si>
    <t>味変1候補3(日)</t>
  </si>
  <si>
    <t>味変1候補3(英)</t>
  </si>
  <si>
    <t>味変1候補3(韓)</t>
  </si>
  <si>
    <t>味変1候補3(中)</t>
  </si>
  <si>
    <t>味変設定2(日)</t>
  </si>
  <si>
    <t>味変設定2(英)</t>
  </si>
  <si>
    <t>味変設定2(韓)</t>
  </si>
  <si>
    <t>味変設定2(中)</t>
  </si>
  <si>
    <t>味変2候補1(日)</t>
  </si>
  <si>
    <t>味変2候補1(英)</t>
  </si>
  <si>
    <t>味変2候補1(韓)</t>
  </si>
  <si>
    <t>味変2候補1(中)</t>
  </si>
  <si>
    <t>味変2候補2(日)</t>
  </si>
  <si>
    <t>味変2候補2(英)</t>
  </si>
  <si>
    <t>味変2候補2(韓)</t>
  </si>
  <si>
    <t>味変2候補2(中)</t>
  </si>
  <si>
    <t>味変2候補3(日)</t>
  </si>
  <si>
    <t>味変2候補3(英)</t>
  </si>
  <si>
    <t>味変2候補3(韓)</t>
  </si>
  <si>
    <t>味変2候補3(中)</t>
  </si>
  <si>
    <t>味変設定3(日)</t>
  </si>
  <si>
    <t>味変設定3(英)</t>
  </si>
  <si>
    <t>味変設定3(韓)</t>
  </si>
  <si>
    <t>味変設定3(中)</t>
  </si>
  <si>
    <t>味変3候補1(日)</t>
  </si>
  <si>
    <t>味変3候補1(英)</t>
  </si>
  <si>
    <t>味変3候補1(韓)</t>
  </si>
  <si>
    <t>味変3候補1(中)</t>
  </si>
  <si>
    <t>味変3候補2(日)</t>
  </si>
  <si>
    <t>味変3候補2(英)</t>
  </si>
  <si>
    <t>味変3候補2(韓)</t>
  </si>
  <si>
    <t>味変3候補2(中)</t>
  </si>
  <si>
    <t>味変3候補3(日)</t>
  </si>
  <si>
    <t>味変3候補3(英)</t>
  </si>
  <si>
    <t>味変3候補3(韓)</t>
  </si>
  <si>
    <t>味変3候補3(中)</t>
  </si>
  <si>
    <t>青のり　かけ</t>
  </si>
  <si>
    <t>Aonori udon</t>
  </si>
  <si>
    <t>noodle soup</t>
  </si>
  <si>
    <t>青　かけ</t>
  </si>
  <si>
    <t>極太　ざる</t>
  </si>
  <si>
    <t>Extra thick cold</t>
  </si>
  <si>
    <t>udon noodle soup</t>
  </si>
  <si>
    <t>太　ざる</t>
  </si>
  <si>
    <t>青のり　ざる</t>
  </si>
  <si>
    <t>Aonori cold udon</t>
  </si>
  <si>
    <t>青　ざる</t>
  </si>
  <si>
    <t>極太　たたみきつね　かけ</t>
  </si>
  <si>
    <t>極太　たたみきつね　</t>
  </si>
  <si>
    <t>かけ</t>
  </si>
  <si>
    <t>Extra thick kitsune</t>
  </si>
  <si>
    <t>太　きつね　かけ</t>
  </si>
  <si>
    <t>青のり　たたみきつね　かけ</t>
  </si>
  <si>
    <t>青のり　たたみきつね</t>
  </si>
  <si>
    <t>　かけ</t>
  </si>
  <si>
    <t>Aonori kitsune</t>
  </si>
  <si>
    <t>青　きつね　かけ</t>
  </si>
  <si>
    <t>極太　えび天　かけ</t>
  </si>
  <si>
    <t>Extra thick</t>
  </si>
  <si>
    <t>prawn tempra udon</t>
  </si>
  <si>
    <t>太　えび天　かけ</t>
  </si>
  <si>
    <t>青のり　えび天　かけ</t>
  </si>
  <si>
    <t>Aonori prawn tempra</t>
  </si>
  <si>
    <t>青　えび天　かけ</t>
  </si>
  <si>
    <t>極太　コロッケ　かけ</t>
  </si>
  <si>
    <t xml:space="preserve">Extra thick </t>
  </si>
  <si>
    <t>potato croquette</t>
  </si>
  <si>
    <t>太　コロッケ　かけ</t>
  </si>
  <si>
    <t>青のり　コロッケ　かけ</t>
  </si>
  <si>
    <t>青のり　コロッケかけ</t>
  </si>
  <si>
    <t>Aonori</t>
  </si>
  <si>
    <t>青　コロッケ　かけ</t>
  </si>
  <si>
    <t>極太 とり天　かけ</t>
  </si>
  <si>
    <t>chicken tempura</t>
  </si>
  <si>
    <t>太 とり天　かけ</t>
  </si>
  <si>
    <t>青のり　とり天　かけ</t>
  </si>
  <si>
    <t>青　とり天　かけ</t>
  </si>
  <si>
    <t>極太　たぬき　かけ</t>
  </si>
  <si>
    <t>tanuki udon</t>
  </si>
  <si>
    <t>太　たぬき　かけ</t>
  </si>
  <si>
    <t>青のり　たぬき　かけ</t>
  </si>
  <si>
    <t>Aonori tanuki udon</t>
  </si>
  <si>
    <t>青　たぬき　かけ</t>
  </si>
  <si>
    <t>極太　柔らか牛肉　かけ</t>
  </si>
  <si>
    <t>極太　柔らか牛肉　</t>
  </si>
  <si>
    <t>Udon noodle soup</t>
  </si>
  <si>
    <t>with meat</t>
  </si>
  <si>
    <t>太　牛肉　かけ</t>
  </si>
  <si>
    <t>青のり　柔らか牛肉　かけ</t>
  </si>
  <si>
    <t>青のり　柔らか牛肉　</t>
  </si>
  <si>
    <t>Aonori udon noodle</t>
  </si>
  <si>
    <t>soup with meat</t>
  </si>
  <si>
    <t>青　牛肉　かけ　</t>
  </si>
  <si>
    <t>ごはん</t>
  </si>
  <si>
    <t>Rice</t>
  </si>
  <si>
    <t>ミニ十二目鶏ごはん</t>
  </si>
  <si>
    <t>ミニ</t>
  </si>
  <si>
    <t>十二目鶏ごはん</t>
  </si>
  <si>
    <t>Mini  chicken rice</t>
  </si>
  <si>
    <t>ミニ　十二目鶏ごはん</t>
  </si>
  <si>
    <t>追い天かす</t>
  </si>
  <si>
    <t>Additional</t>
  </si>
  <si>
    <t>tempura scraps</t>
  </si>
  <si>
    <t>単品　追い天かす</t>
  </si>
  <si>
    <t>とり天</t>
  </si>
  <si>
    <t>Chicken tempura</t>
  </si>
  <si>
    <t>単品　とり天</t>
  </si>
  <si>
    <t>たたみきつね</t>
  </si>
  <si>
    <t>Tanuki udon</t>
  </si>
  <si>
    <t>単品　きつね</t>
  </si>
  <si>
    <t>えび天　</t>
  </si>
  <si>
    <t>えび天</t>
  </si>
  <si>
    <t>Shrimp tempura</t>
  </si>
  <si>
    <t>単品　えび天</t>
  </si>
  <si>
    <t>大根おろし</t>
  </si>
  <si>
    <t>Grated daikon radish</t>
  </si>
  <si>
    <t>単品　大根おろし</t>
  </si>
  <si>
    <t>おくらモロヘイヤ</t>
  </si>
  <si>
    <t>Okra and molokhiya</t>
  </si>
  <si>
    <t>単品　おくらモロヘイ</t>
  </si>
  <si>
    <t>特大かき揚げ</t>
  </si>
  <si>
    <t>Extra large</t>
  </si>
  <si>
    <t>fried oyster</t>
  </si>
  <si>
    <t>キス天</t>
  </si>
  <si>
    <t>Sand borer tempura</t>
  </si>
  <si>
    <t>単品　キス天</t>
  </si>
  <si>
    <t>とろろ昆布</t>
  </si>
  <si>
    <t>Shaved kelp</t>
  </si>
  <si>
    <t>単品　とろろ昆布</t>
  </si>
  <si>
    <t>ちくわ天</t>
  </si>
  <si>
    <t>Chikuwa tempura</t>
  </si>
  <si>
    <t>単品　ちくわ天</t>
  </si>
  <si>
    <t>とろろ芋</t>
  </si>
  <si>
    <t>Grated yam</t>
  </si>
  <si>
    <t>単品　とろろ芋</t>
  </si>
  <si>
    <t>青のり　ぶっかけ</t>
  </si>
  <si>
    <t>Aonori bukkake udon</t>
  </si>
  <si>
    <t>青　ぶっかけ</t>
  </si>
  <si>
    <t>ほうぼう天</t>
  </si>
  <si>
    <t>Tempura of gurnard</t>
  </si>
  <si>
    <t>単品　ほうぼう天</t>
  </si>
  <si>
    <t>おくら天　２本</t>
  </si>
  <si>
    <t xml:space="preserve">2 Okra tempura </t>
  </si>
  <si>
    <t>単品　おくら天　２本</t>
  </si>
  <si>
    <t>極太　ぶっかけ</t>
  </si>
  <si>
    <t>Extra thick bukkake</t>
  </si>
  <si>
    <t>太　ぶっかけ</t>
  </si>
  <si>
    <t>テイクアウト　かけ　極太</t>
  </si>
  <si>
    <t>テイクアウト　かけ　</t>
  </si>
  <si>
    <t>極太</t>
  </si>
  <si>
    <t>Take out</t>
  </si>
  <si>
    <t>TO　太　かけ　</t>
  </si>
  <si>
    <t>ねぎ</t>
  </si>
  <si>
    <t>あり</t>
  </si>
  <si>
    <t>なし</t>
  </si>
  <si>
    <t>しょうが</t>
  </si>
  <si>
    <t>天かす</t>
  </si>
  <si>
    <t>テイクアウト　かけ　青のり</t>
  </si>
  <si>
    <t>TO　かけ　</t>
  </si>
  <si>
    <t>青のり</t>
  </si>
  <si>
    <t>Teke out</t>
  </si>
  <si>
    <t>TO　かけ　青のり</t>
  </si>
  <si>
    <t>テイクアウトぶっかけ　極太</t>
  </si>
  <si>
    <t>TO　ぶっかけ</t>
  </si>
  <si>
    <t>TO　ぶっかけ極太</t>
  </si>
  <si>
    <t>テイクアウトぶっかけ　青のり</t>
  </si>
  <si>
    <t>テイクアウト　青のり</t>
  </si>
  <si>
    <t>ぶっかけ</t>
  </si>
  <si>
    <t>Aonori bukkake</t>
  </si>
  <si>
    <t>TO　青のり</t>
  </si>
  <si>
    <t>0.5玉　追加　極太</t>
  </si>
  <si>
    <t>Point five serving</t>
  </si>
  <si>
    <t>addition extra thick</t>
  </si>
  <si>
    <t>0.5玉　　極太</t>
  </si>
  <si>
    <t>１玉　追加　極太</t>
  </si>
  <si>
    <t>One serving</t>
  </si>
  <si>
    <t>１玉　　極太</t>
  </si>
  <si>
    <t>1玉　追加　極太</t>
  </si>
  <si>
    <t>1玉　　極太</t>
  </si>
  <si>
    <t>0.5玉　追加　青のり</t>
  </si>
  <si>
    <t>addition aonori</t>
  </si>
  <si>
    <t>0.5玉　　青のり</t>
  </si>
  <si>
    <t>1玉　追加　青のり</t>
  </si>
  <si>
    <t>1玉　　青のり</t>
  </si>
  <si>
    <t>サラダうどん　極太　</t>
  </si>
  <si>
    <t>サラダうどん　極太</t>
  </si>
  <si>
    <t>Salad udon</t>
  </si>
  <si>
    <t>extra thick</t>
  </si>
  <si>
    <t>ドレッシング</t>
  </si>
  <si>
    <t>食べるごま</t>
  </si>
  <si>
    <t>すりおろし野菜（醤油</t>
  </si>
  <si>
    <t>サラダうどん　青のり</t>
  </si>
  <si>
    <t>Salad udon aonori</t>
  </si>
  <si>
    <t>極太　かけ</t>
  </si>
  <si>
    <t>Extra thick udon</t>
  </si>
  <si>
    <t>太　かけ</t>
  </si>
  <si>
    <t>コーラ</t>
  </si>
  <si>
    <t>Cola</t>
  </si>
  <si>
    <t>厚焼き玉子</t>
  </si>
  <si>
    <t>Thick omelet</t>
  </si>
  <si>
    <t>0.5玉　　太</t>
  </si>
  <si>
    <t>１玉　　太</t>
  </si>
  <si>
    <t>0.5玉　　青</t>
  </si>
  <si>
    <t>１玉　追加　青のり</t>
  </si>
  <si>
    <t>１玉　　青</t>
  </si>
  <si>
    <t>1.5玉　追加　極太</t>
  </si>
  <si>
    <t>One and half</t>
  </si>
  <si>
    <t>1.5玉　　太</t>
  </si>
  <si>
    <t>２玉　追加　極太</t>
  </si>
  <si>
    <t>Two serving</t>
  </si>
  <si>
    <t>２玉　　太</t>
  </si>
  <si>
    <t>1.5玉　追加　青のり</t>
  </si>
  <si>
    <t>1.5玉　　青</t>
  </si>
  <si>
    <t>２玉　追加　青のり</t>
  </si>
  <si>
    <t>２玉　　青</t>
  </si>
  <si>
    <t>2玉　追加　極太　</t>
  </si>
  <si>
    <t>2玉　追加　極太</t>
  </si>
  <si>
    <t>2玉　　太</t>
  </si>
  <si>
    <t>柔らか牛丼</t>
  </si>
  <si>
    <t>Beef bowl</t>
  </si>
  <si>
    <t>牛丼</t>
  </si>
  <si>
    <t>炭火薫る　焼き鳥丼</t>
  </si>
  <si>
    <t>Yakitori bowl</t>
  </si>
  <si>
    <t>焼き鳥丼</t>
  </si>
  <si>
    <t>ミニ　柔らか牛丼</t>
  </si>
  <si>
    <t>ミニ　</t>
  </si>
  <si>
    <t>mini beef bowl</t>
  </si>
  <si>
    <t>ミニ　炭火薫る焼き鳥丼</t>
  </si>
  <si>
    <t>炭火薫る焼き鳥丼</t>
  </si>
  <si>
    <t>mini yakitori bowl</t>
  </si>
  <si>
    <t>ミニ　焼き鳥丼</t>
  </si>
  <si>
    <t>ミニ　ふわとろ卵かけご飯</t>
  </si>
  <si>
    <t>ふわとろ卵かけご飯</t>
  </si>
  <si>
    <t>mini raw egg on rice</t>
  </si>
  <si>
    <t>ミニ　ふわとろ卵かけ</t>
  </si>
  <si>
    <t>ミニ　山かけ丼</t>
  </si>
  <si>
    <t>山かけ丼</t>
  </si>
  <si>
    <t>mini grated japanese</t>
  </si>
  <si>
    <t>yama</t>
  </si>
  <si>
    <t>極太　二度見なめこ　かけ</t>
  </si>
  <si>
    <t>極太　二度見なめこ　</t>
  </si>
  <si>
    <t>nameko mushroom</t>
  </si>
  <si>
    <t>青のり　二度見なめこ　かけ</t>
  </si>
  <si>
    <t>青のり　二度見なめこ</t>
  </si>
  <si>
    <t>aonori udon</t>
  </si>
  <si>
    <t>二度見なめこ</t>
  </si>
  <si>
    <t>青のり　二度見なめこぶっかけ</t>
  </si>
  <si>
    <t>aonori nameko</t>
  </si>
  <si>
    <t>mushroom bukkake</t>
  </si>
  <si>
    <t>鬼カニカマ天</t>
  </si>
  <si>
    <t>crab stick tempura</t>
  </si>
  <si>
    <t>鬼カニカマ天　極太 かけ</t>
  </si>
  <si>
    <t xml:space="preserve">鬼カニカマ天　極太 </t>
  </si>
  <si>
    <t>カニカマ　太 　かけ</t>
  </si>
  <si>
    <t>鬼カニカマ天　青のり　かけ</t>
  </si>
  <si>
    <t>鬼カニカマ天　青のり</t>
  </si>
  <si>
    <t>カニカマ　青　かけ</t>
  </si>
  <si>
    <t>アサヒ　　　　　　　スーパードライ350ml</t>
  </si>
  <si>
    <t>アサヒ　　　　　　　</t>
  </si>
  <si>
    <t>スーパードライ350ml</t>
  </si>
  <si>
    <t>Asahi Super Dry</t>
  </si>
  <si>
    <t>350ml</t>
  </si>
  <si>
    <t>ビール</t>
  </si>
  <si>
    <t>アイスコーヒー</t>
  </si>
  <si>
    <t>iced coffee</t>
  </si>
  <si>
    <t>ミルク</t>
  </si>
  <si>
    <t>ガムシロップ</t>
  </si>
  <si>
    <t>100％オレンジ　　　ジュース</t>
  </si>
  <si>
    <t>100％オレンジ　　　</t>
  </si>
  <si>
    <t>ジュース</t>
  </si>
  <si>
    <t>Orange juice</t>
  </si>
  <si>
    <t>100％リンゴジュース</t>
  </si>
  <si>
    <t>apple juice</t>
  </si>
  <si>
    <t>ジャスミン茶</t>
  </si>
  <si>
    <t>Jasmine Tea</t>
  </si>
  <si>
    <t>100％パイナップル　ジュース</t>
  </si>
  <si>
    <t>100％パイナップル　</t>
  </si>
  <si>
    <t>Pineapple juice</t>
  </si>
  <si>
    <t>極太　柔らか牛肉　ぶっかけ</t>
  </si>
  <si>
    <t>with meat bukkake</t>
  </si>
  <si>
    <t>太　肉　ぶっかけ</t>
  </si>
  <si>
    <t>青のり　柔らか牛肉　ぶっかけ</t>
  </si>
  <si>
    <t>aonori Udon noodle</t>
  </si>
  <si>
    <t>青　肉　ぶっかけ</t>
  </si>
  <si>
    <t>極太　とり天　ぶっかけ</t>
  </si>
  <si>
    <t>極太　とり天</t>
  </si>
  <si>
    <t>太　とり天　ぶっかけ</t>
  </si>
  <si>
    <t>青のり とり天　ぶっかけ</t>
  </si>
  <si>
    <t>青のり とり天</t>
  </si>
  <si>
    <t>青 とり天　ぶっかけ</t>
  </si>
  <si>
    <t>極太　コロッケ　ぶっかけ　</t>
  </si>
  <si>
    <t>極太　コロッケ</t>
  </si>
  <si>
    <t>udon bukkake</t>
  </si>
  <si>
    <t>太　コロッケ　ぶっか</t>
  </si>
  <si>
    <t>青のり　コロッケ　ぶっかけ</t>
  </si>
  <si>
    <t>青のり　コロッケ</t>
  </si>
  <si>
    <t>aonori udon bukkake</t>
  </si>
  <si>
    <t>青　コロッケぶっかけ</t>
  </si>
  <si>
    <t>極太　たぬき　ぶっかけ</t>
  </si>
  <si>
    <t>極太　たぬき</t>
  </si>
  <si>
    <t>tanuki udon bukkake</t>
  </si>
  <si>
    <t>太　たぬき　ぶっかけ</t>
  </si>
  <si>
    <t>青のり　たぬき　ぶっかけ</t>
  </si>
  <si>
    <t>青のり　たぬき</t>
  </si>
  <si>
    <t>Tanuki aonori udon</t>
  </si>
  <si>
    <t>bukkake</t>
  </si>
  <si>
    <t>青　たぬき　ぶっかけ</t>
  </si>
  <si>
    <t>極太　えび天　ぶっかけ</t>
  </si>
  <si>
    <t>極太　えび天</t>
  </si>
  <si>
    <t>太　えび天　ぶっかけ</t>
  </si>
  <si>
    <t>青のり　えび天　ぶっかけ</t>
  </si>
  <si>
    <t>青のり　えび天</t>
  </si>
  <si>
    <t>aonori shrimp</t>
  </si>
  <si>
    <t>青　えび天　ぶっかけ</t>
  </si>
  <si>
    <t>極太　二度見なめこ　ぶっかけ</t>
  </si>
  <si>
    <t>極太　鬼カニカマ天　ぶっかけ</t>
  </si>
  <si>
    <t>極太　鬼カニカマ天　</t>
  </si>
  <si>
    <t>太　カニカマ　ぶっか</t>
  </si>
  <si>
    <t>青のり　鬼カニカマ天　ぶっかけ</t>
  </si>
  <si>
    <t>青のり　鬼カニカマ天</t>
  </si>
  <si>
    <t>aonori</t>
  </si>
  <si>
    <t>青　カニカマ　ぶっか</t>
  </si>
  <si>
    <t>極太　ちくわ天　ぶっかけ</t>
  </si>
  <si>
    <t>極太　ちくわ天</t>
  </si>
  <si>
    <t>太　ちくわ天　ぶっか</t>
  </si>
  <si>
    <t>青のり　ちくわ天　ぶっかけ</t>
  </si>
  <si>
    <t>青のり　ちくわ天</t>
  </si>
  <si>
    <t>青　ちくわ天　ぶっか</t>
  </si>
  <si>
    <t>極太　特大かき揚げ　ぶっかけ</t>
  </si>
  <si>
    <t>極太　特大かき揚げ　</t>
  </si>
  <si>
    <t>Extra large fried</t>
  </si>
  <si>
    <t>oyster bukkake</t>
  </si>
  <si>
    <t>青のり　特大かき揚げ　ぶっかけ</t>
  </si>
  <si>
    <t>青のり　特大かき揚げ</t>
  </si>
  <si>
    <t>　ぶっかけ</t>
  </si>
  <si>
    <t>aonori extra large</t>
  </si>
  <si>
    <t>fried oyster bukkake</t>
  </si>
  <si>
    <t>極太　いか天　ぶっかけ</t>
  </si>
  <si>
    <t>極太　いか天</t>
  </si>
  <si>
    <t>Squid Heaven</t>
  </si>
  <si>
    <t>太　いか天　ぶっかけ</t>
  </si>
  <si>
    <t>青のり　いか天　ぶっかけ</t>
  </si>
  <si>
    <t>青のり　いか天</t>
  </si>
  <si>
    <t>青　いか天　ぶっかけ</t>
  </si>
  <si>
    <t>極太　おくら天　ぶっかけ</t>
  </si>
  <si>
    <t>極太　おくら天</t>
  </si>
  <si>
    <t>okra tempura</t>
  </si>
  <si>
    <t>太　おくら天　ぶっか</t>
  </si>
  <si>
    <t>青のり　おくら天　ぶっかけ</t>
  </si>
  <si>
    <t>青のり　おくら天</t>
  </si>
  <si>
    <t>青　おくら天ぶっかけ</t>
  </si>
  <si>
    <t>いか天</t>
  </si>
  <si>
    <t>単品　いか天</t>
  </si>
  <si>
    <t>極太　ちくわ天　かけ</t>
  </si>
  <si>
    <t>太　ちくわ天　かけ</t>
  </si>
  <si>
    <t>青のり　ちくわ天　 かけ</t>
  </si>
  <si>
    <t xml:space="preserve">青のり　ちくわ天　 </t>
  </si>
  <si>
    <t>青　ちくわ　かけ</t>
  </si>
  <si>
    <t>ミニ　とり天丼</t>
  </si>
  <si>
    <t>mini Chicken</t>
  </si>
  <si>
    <t>tempura</t>
  </si>
  <si>
    <t>たれ</t>
  </si>
  <si>
    <t>塩だれ</t>
  </si>
  <si>
    <t>しょうゆだれ</t>
  </si>
  <si>
    <t xml:space="preserve">皮つきフライドポテト </t>
  </si>
  <si>
    <t>皮つきフライドポテト</t>
  </si>
  <si>
    <t>French Fries</t>
  </si>
  <si>
    <t>炭火薫る　焼き鳥丼   厳選生たまご付</t>
  </si>
  <si>
    <t xml:space="preserve">炭火薫る　焼き鳥丼  </t>
  </si>
  <si>
    <t xml:space="preserve"> 厳選生たまご付</t>
  </si>
  <si>
    <t>and raw egg</t>
  </si>
  <si>
    <t>焼き鳥丼  生たまご</t>
  </si>
  <si>
    <t>炭火薫る　焼き鳥丼　温泉たまご付</t>
  </si>
  <si>
    <t>炭火薫る　焼き鳥丼　</t>
  </si>
  <si>
    <t>温泉たまご付</t>
  </si>
  <si>
    <t>yakiyori bowl and</t>
  </si>
  <si>
    <t>Hot Spring Egg</t>
  </si>
  <si>
    <t>焼き鳥丼　温玉</t>
  </si>
  <si>
    <t>温泉たまご</t>
  </si>
  <si>
    <t>絶品生たまご　</t>
  </si>
  <si>
    <t>絶品生たまご</t>
  </si>
  <si>
    <t>raw egg</t>
  </si>
  <si>
    <t>柔らか牛肉</t>
  </si>
  <si>
    <t>Beef</t>
  </si>
  <si>
    <t>ハイボール</t>
  </si>
  <si>
    <t>High Ball</t>
  </si>
  <si>
    <t>ハイボール　濃いめ</t>
  </si>
  <si>
    <t>ハイボール　</t>
  </si>
  <si>
    <t>濃いめ</t>
  </si>
  <si>
    <t>High Ball dense</t>
  </si>
  <si>
    <t>からあげ　5個</t>
  </si>
  <si>
    <t>5 pieces of</t>
  </si>
  <si>
    <t>fried chicken</t>
  </si>
  <si>
    <t>極太　特大かき揚げ　かけ</t>
  </si>
  <si>
    <t>extra thick extra</t>
  </si>
  <si>
    <t>large fried oyster</t>
  </si>
  <si>
    <t>青のり　特大かき揚げ　かけ</t>
  </si>
  <si>
    <t>極太　イカ天　かけ</t>
  </si>
  <si>
    <t>おくら天　2個</t>
  </si>
  <si>
    <t>Two Okra Heavens</t>
  </si>
  <si>
    <t>青のり　イカ天　かけ</t>
  </si>
  <si>
    <t>aonori squid heaven</t>
  </si>
  <si>
    <t>青　イカ天　かけ</t>
  </si>
  <si>
    <t>テイクアウト焼き鳥どん</t>
  </si>
  <si>
    <t>テイクアウト</t>
  </si>
  <si>
    <t>takeaway</t>
  </si>
  <si>
    <t>テイクアウト焼き鳥丼</t>
  </si>
  <si>
    <t>テイクアウト　焼き鳥丼＋温泉たまご</t>
  </si>
  <si>
    <t>テイクアウト　焼き鳥</t>
  </si>
  <si>
    <t>Yakitori and raw egg</t>
  </si>
  <si>
    <t>テイクアウト　柔らか牛丼</t>
  </si>
  <si>
    <t>テイクアウト　柔らか</t>
  </si>
  <si>
    <t>beef bowl</t>
  </si>
  <si>
    <t>テイクアウト　ドーンと2枚とり天丼</t>
  </si>
  <si>
    <t>テイクアウト　ドーン</t>
  </si>
  <si>
    <t>と2枚とり天丼</t>
  </si>
  <si>
    <t>2 Chicken tempura</t>
  </si>
  <si>
    <t>しょう油だれ</t>
  </si>
  <si>
    <t>テイクアウト十二目鶏ごはん</t>
  </si>
  <si>
    <t>chicken rice</t>
  </si>
  <si>
    <t>テイクアウト十二目鶏</t>
  </si>
  <si>
    <t>テイクアウト　ごはん</t>
  </si>
  <si>
    <t>rice</t>
  </si>
  <si>
    <t>えび天さっぱりおろし　ぶっかけ青のり</t>
  </si>
  <si>
    <t>えび天さっぱりおろし</t>
  </si>
  <si>
    <t>ぶっかけ青のり</t>
  </si>
  <si>
    <t>and aonori</t>
  </si>
  <si>
    <t>青えび天さっぱりおろ</t>
  </si>
  <si>
    <t>えび天　さっぱり　ぶっかけ極太</t>
  </si>
  <si>
    <t>えび天　さっぱり　</t>
  </si>
  <si>
    <t>ぶっかけ極太</t>
  </si>
  <si>
    <t>extra thick noodle</t>
  </si>
  <si>
    <t>太えびさっぱおろし</t>
  </si>
  <si>
    <t>とり天さっぱりぶっかけ極太</t>
  </si>
  <si>
    <t>とり天さっぱりおろし</t>
  </si>
  <si>
    <t>太とり天さっぱりおろ</t>
  </si>
  <si>
    <t>とり天さっぱりおろしぶっかけ青のり</t>
  </si>
  <si>
    <t>青とり天さっぱりお</t>
  </si>
  <si>
    <t>さっぱりおろしレモンぶっかけ極太</t>
  </si>
  <si>
    <t>さっぱりおろしレモン</t>
  </si>
  <si>
    <t>Lemon flavor</t>
  </si>
  <si>
    <t>太さっぱりおろしレモ</t>
  </si>
  <si>
    <t>さっぱりおろしレモン青のりうどん</t>
  </si>
  <si>
    <t>青のりうどん</t>
  </si>
  <si>
    <t>青さっぱりおろしレモ</t>
  </si>
  <si>
    <t>テイクアウト　さっぱりおろしレモン　極太</t>
  </si>
  <si>
    <t>テイクアウト　さっぱ</t>
  </si>
  <si>
    <t>りおろしレモン　極太</t>
  </si>
  <si>
    <t>TO　太　さっぱり</t>
  </si>
  <si>
    <t>テイクアウトさっぱりおろしレモン　青のり</t>
  </si>
  <si>
    <t>テイクアウトさっぱり</t>
  </si>
  <si>
    <t>おろしレモン　青のり</t>
  </si>
  <si>
    <t>TO　青　さっぱり</t>
  </si>
  <si>
    <t>キリンノンアルコールビール</t>
  </si>
  <si>
    <t>キリン</t>
  </si>
  <si>
    <t>ノンアルコールビール</t>
  </si>
  <si>
    <t>non-alcoholic beer</t>
  </si>
  <si>
    <t>キリンノンアルコール</t>
  </si>
  <si>
    <t>極太　たたみきつね　ぶっかけ</t>
  </si>
  <si>
    <t>太　きつね　ぶっかけ</t>
  </si>
  <si>
    <t>青のり　たたみきつね　ぶっかけ</t>
  </si>
  <si>
    <t>aonori extra thick</t>
  </si>
  <si>
    <t>青　きつね　ぶっかけ</t>
  </si>
  <si>
    <t>コロッケ</t>
  </si>
  <si>
    <t>トッピングセット</t>
  </si>
  <si>
    <t>かぼちゃ天</t>
  </si>
  <si>
    <t>青のり　ミニかけうどん</t>
  </si>
  <si>
    <t>青のり　ミニ　</t>
  </si>
  <si>
    <t>かけうどん</t>
  </si>
  <si>
    <t>aonori mini</t>
  </si>
  <si>
    <t>青のり　ミニ　かけう</t>
  </si>
  <si>
    <t>青のり　小ぶっかけうどん</t>
  </si>
  <si>
    <t>青のり　ミニ</t>
  </si>
  <si>
    <t>ぶっかけうどん</t>
  </si>
  <si>
    <t>青のり　ミニぶっかけ</t>
  </si>
  <si>
    <t>極太　小かけうどん</t>
  </si>
  <si>
    <t>極太　ミニ</t>
  </si>
  <si>
    <t>extra thick mini</t>
  </si>
  <si>
    <t>極太　ミニかけうどん</t>
  </si>
  <si>
    <t>極太　小ぶっかけうどん</t>
  </si>
  <si>
    <t>極太　ミニぶっかけう</t>
  </si>
  <si>
    <t>混ぜご飯おにぎり</t>
  </si>
  <si>
    <t>mixed rice ball</t>
  </si>
  <si>
    <t>まぜごはんおにぎり</t>
  </si>
  <si>
    <t>混ぜごはんおにぎり</t>
  </si>
  <si>
    <t>混ぜごはん　おにぎり</t>
  </si>
  <si>
    <t>まぜごはん　おにぎり</t>
  </si>
  <si>
    <t>TO 極太サラダうどん</t>
  </si>
  <si>
    <t>Salad udon noodles</t>
  </si>
  <si>
    <t>with extra thick</t>
  </si>
  <si>
    <t>食べるごまドレ</t>
  </si>
  <si>
    <t>TO　青のりサラダうどん</t>
  </si>
  <si>
    <t>TO　青のりサラダうど</t>
  </si>
  <si>
    <t>ん</t>
  </si>
  <si>
    <t>お子さま　ごはんセット</t>
  </si>
  <si>
    <t>お子さま　ごはんセッ</t>
  </si>
  <si>
    <t>ト</t>
  </si>
  <si>
    <t>Children</t>
  </si>
  <si>
    <t>rice set</t>
  </si>
  <si>
    <t>テイクアウト　まぜごはんおにぎり</t>
  </si>
  <si>
    <t>テイクアウト　</t>
  </si>
  <si>
    <t>テイクアウト　まぜご</t>
  </si>
  <si>
    <t>ごろごろ海鮮かき揚げ</t>
  </si>
  <si>
    <t>Seafood kakiage</t>
  </si>
  <si>
    <t>極太ねばとろなめこうどん</t>
  </si>
  <si>
    <t>極太　</t>
  </si>
  <si>
    <t>ねばとろなめこうどん</t>
  </si>
  <si>
    <t>Nameko udon</t>
  </si>
  <si>
    <t>ねばとろなめこ</t>
  </si>
  <si>
    <t>極太ねばとろなめこ　</t>
  </si>
  <si>
    <t>青のりねばとろなめこ　</t>
  </si>
  <si>
    <t>aonori nameko udon</t>
  </si>
  <si>
    <t>青のりねばとろなめこ</t>
  </si>
  <si>
    <t>ザクザクごぼうのかき揚げ</t>
  </si>
  <si>
    <t>ザクザクごぼう</t>
  </si>
  <si>
    <t>かき揚げ</t>
  </si>
  <si>
    <t>burdock kakiage</t>
  </si>
  <si>
    <t>ザクザクごぼうかき揚</t>
  </si>
  <si>
    <t>とり三昧丼</t>
  </si>
  <si>
    <t>bird eice</t>
  </si>
  <si>
    <t>醤油だれ</t>
  </si>
  <si>
    <t>極太　穴子きすエビ天　ぶっかけ</t>
  </si>
  <si>
    <t>極太　穴子きすエビ天</t>
  </si>
  <si>
    <t>青のり　穴子きすエビ天　ぶっかけ</t>
  </si>
  <si>
    <t>青のり穴子きすエビ天</t>
  </si>
  <si>
    <t>青　穴子きすエビ天</t>
  </si>
  <si>
    <t>あなご天</t>
  </si>
  <si>
    <t>Conger eel</t>
  </si>
  <si>
    <t>鶏とりトリ丼</t>
  </si>
  <si>
    <t>混ぜご飯　おにぎり</t>
  </si>
  <si>
    <t>テイクアウト用　容器</t>
  </si>
  <si>
    <t>container</t>
  </si>
  <si>
    <t>テイクアウト用容器</t>
  </si>
  <si>
    <t>水菜のシャキシャキミニサラダ</t>
  </si>
  <si>
    <t>水菜のシャキシャキ</t>
  </si>
  <si>
    <t>ミニサラダ</t>
  </si>
  <si>
    <t>mini salad</t>
  </si>
  <si>
    <t>水菜のシャキシャキミ</t>
  </si>
  <si>
    <t>食べるゴマドレ</t>
  </si>
  <si>
    <t>すりおろし野菜ドレ</t>
  </si>
  <si>
    <t>水菜のミニサラダ</t>
  </si>
  <si>
    <t>水菜の　ミニサラダ</t>
  </si>
  <si>
    <t>シャキシャキの水菜　みにサラダ</t>
  </si>
  <si>
    <t>シャキシャキの水菜　</t>
  </si>
  <si>
    <t>みにサラダ</t>
  </si>
  <si>
    <t>シャキシャキ水菜　ミニサラダ</t>
  </si>
  <si>
    <t>シャキシャキ水菜　ミ</t>
  </si>
  <si>
    <t>ニサラダ</t>
  </si>
  <si>
    <t>追加　ねぎ大盛り</t>
  </si>
  <si>
    <t>green onion</t>
  </si>
  <si>
    <t>追加　しょうが</t>
  </si>
  <si>
    <t>ginger</t>
  </si>
  <si>
    <t>おつまみセット</t>
  </si>
  <si>
    <t>Snacks set</t>
  </si>
  <si>
    <t>おこさま　うどんセット</t>
  </si>
  <si>
    <t>おこさま　うどんセッ</t>
  </si>
  <si>
    <t>Children udon set</t>
  </si>
  <si>
    <t>つゆ</t>
  </si>
  <si>
    <t>かけうどん（温）</t>
  </si>
  <si>
    <t>ぶっかけ（冷）</t>
  </si>
  <si>
    <t>ソーセージ盛り合わせ</t>
  </si>
  <si>
    <t>sausage</t>
  </si>
  <si>
    <t>極太　ちらしうなぎ　</t>
  </si>
  <si>
    <t>極太　ちらしうなぎ</t>
  </si>
  <si>
    <t>Chirashi eel</t>
  </si>
  <si>
    <t>青のり　ちらしうなぎ</t>
  </si>
  <si>
    <t>極太　やわらか牛肉　うなぎ</t>
  </si>
  <si>
    <t>極太　やわらか牛肉　</t>
  </si>
  <si>
    <t>うなぎ</t>
  </si>
  <si>
    <t>beef and ell</t>
  </si>
  <si>
    <t>青のり　やわらか牛肉　ちらしうなぎ</t>
  </si>
  <si>
    <t>青のり　やわらか牛肉</t>
  </si>
  <si>
    <t>　うなぎ</t>
  </si>
  <si>
    <t>極太　とろろ芋　ちらしうなぎ</t>
  </si>
  <si>
    <t>極太　とろろ芋　</t>
  </si>
  <si>
    <t>ちらししうなぎ</t>
  </si>
  <si>
    <t>yam Chirashi eel</t>
  </si>
  <si>
    <t>極太　とろろ芋　ちら</t>
  </si>
  <si>
    <t>青のり　とろろ芋　ちらしうなぎ</t>
  </si>
  <si>
    <t>青のり　とろろ芋　</t>
  </si>
  <si>
    <t>ちらしうなぎ</t>
  </si>
  <si>
    <t>青のり　とろろ芋　ち</t>
  </si>
  <si>
    <t>極太　ちらしうなぎ　大盛り</t>
  </si>
  <si>
    <t>大盛り</t>
  </si>
  <si>
    <t xml:space="preserve">Large serving
</t>
  </si>
  <si>
    <t>青のり　ちらしうなぎ　大盛り</t>
  </si>
  <si>
    <t>　大盛り</t>
  </si>
  <si>
    <t>極太　やわらか牛肉　うなぎ　大盛り</t>
  </si>
  <si>
    <t>うなぎ　大盛り</t>
  </si>
  <si>
    <t>青のり　やわらか牛肉　うなぎ　大盛り</t>
  </si>
  <si>
    <t>　うなぎ　大盛り</t>
  </si>
  <si>
    <t>Large serving</t>
  </si>
  <si>
    <t>極太　とろろ芋　ちらしうなぎ　大盛り</t>
  </si>
  <si>
    <t>極太　とろろ芋ちらし</t>
  </si>
  <si>
    <t>青のり　とろろ芋　ちらしうなぎ　大盛り</t>
  </si>
  <si>
    <t>青のり　とろろ芋ちら</t>
  </si>
  <si>
    <t>しうなぎ　大盛り</t>
  </si>
  <si>
    <t>ミニちらしうな丼</t>
  </si>
  <si>
    <t>mini ell rice box</t>
  </si>
  <si>
    <t>ミニちらしウナ丼</t>
  </si>
  <si>
    <t>アスパラベーコン天</t>
  </si>
  <si>
    <t>Asparagus bacon</t>
  </si>
  <si>
    <t>とうもろこし天</t>
  </si>
  <si>
    <t>corn</t>
  </si>
  <si>
    <t>1.5玉　追加　 極太</t>
  </si>
  <si>
    <t xml:space="preserve">1.5玉　追加　 </t>
  </si>
  <si>
    <t>2玉　追加　  極太</t>
  </si>
  <si>
    <t xml:space="preserve">2玉　追加　  </t>
  </si>
  <si>
    <t>1.5玉　追加　 青のり</t>
  </si>
  <si>
    <t>1.5玉　追加　</t>
  </si>
  <si>
    <t xml:space="preserve"> 青のり</t>
  </si>
  <si>
    <t>２玉　追加　　青のり　</t>
  </si>
  <si>
    <t>２玉　追加　　青のり</t>
  </si>
  <si>
    <t>２玉　追加　　</t>
  </si>
  <si>
    <t>極太丸ごとトマトの　冷やしかけうどん</t>
  </si>
  <si>
    <t>極太丸ごとトマトの　</t>
  </si>
  <si>
    <t>冷やしかけうどん</t>
  </si>
  <si>
    <t>tomato cold udon</t>
  </si>
  <si>
    <t>極太　丸ごとトマトの</t>
  </si>
  <si>
    <t>青のり丸ごとトマトの冷やしかけうどん</t>
  </si>
  <si>
    <t>青のり丸ごとトマトの</t>
  </si>
  <si>
    <t>青のり　丸ごとトマト</t>
  </si>
  <si>
    <t>極太　トマト麻辣ぶっかけうどん</t>
  </si>
  <si>
    <t>極太　トマト麻辣</t>
  </si>
  <si>
    <t>extra thick tomato</t>
  </si>
  <si>
    <t>極太　トマト麻辣ぶっ</t>
  </si>
  <si>
    <t>極太　中辛トマト麻辣ぶっかけうどん</t>
  </si>
  <si>
    <t>極太　中辛トマト麻辣</t>
  </si>
  <si>
    <t>extra thick hot</t>
  </si>
  <si>
    <t>tomato udon</t>
  </si>
  <si>
    <t>極太　大辛トマト麻辣ぶっかけうどん</t>
  </si>
  <si>
    <t>極太　大辛トマト麻辣</t>
  </si>
  <si>
    <t>extra thick very</t>
  </si>
  <si>
    <t>hot tomato udon</t>
  </si>
  <si>
    <t>極太　鬼辛トマト麻辣ぶっかけうどん</t>
  </si>
  <si>
    <t>極太　鬼辛トマト麻辣</t>
  </si>
  <si>
    <t>extra thick very very</t>
  </si>
  <si>
    <t>青のり　トマト麻辣ぶっかけうどん</t>
  </si>
  <si>
    <t>青のり　トマト麻辣</t>
  </si>
  <si>
    <t>aonori tomato</t>
  </si>
  <si>
    <t>青のり　トマト麻辣ぶ</t>
  </si>
  <si>
    <t>青のり中辛トマト麻辣ぶっかけうどん</t>
  </si>
  <si>
    <t>青のり中辛トマト麻辣</t>
  </si>
  <si>
    <t>aonori hot tomato</t>
  </si>
  <si>
    <t>青のり　中辛トマト麻</t>
  </si>
  <si>
    <t>青のり大辛トマト麻辣ぶっかけうどん</t>
  </si>
  <si>
    <t>青のり大辛トマト麻辣</t>
  </si>
  <si>
    <t>aonori very hot</t>
  </si>
  <si>
    <t>青のり　大辛トマト麻</t>
  </si>
  <si>
    <t>青のり鬼辛トマト麻辣ぶっかけうどん</t>
  </si>
  <si>
    <t>青のり鬼辛トマト麻辣</t>
  </si>
  <si>
    <t>aonori very very</t>
  </si>
  <si>
    <t>青のり　鬼辛トマト麻</t>
  </si>
  <si>
    <t>追加　特製スパイス</t>
  </si>
  <si>
    <t>追加　</t>
  </si>
  <si>
    <t>特製うま辛スパイス</t>
  </si>
  <si>
    <t>addition</t>
  </si>
  <si>
    <t>Specialty Spices</t>
  </si>
  <si>
    <t>追加　特製うま辛スパ</t>
  </si>
  <si>
    <t>追加特製スパイス</t>
  </si>
  <si>
    <t>追加</t>
  </si>
  <si>
    <t>追加特製うま辛スパイ</t>
  </si>
  <si>
    <t>極太梅シソとろろ昆布冷やしかけうど</t>
  </si>
  <si>
    <t>極太　梅とろろ昆布</t>
  </si>
  <si>
    <t>冷やしかけうど</t>
  </si>
  <si>
    <t>mix cold udon</t>
  </si>
  <si>
    <t>極太　梅とろろ昆布冷</t>
  </si>
  <si>
    <t>青のり梅とろろ昆布冷やしかけうど</t>
  </si>
  <si>
    <t>青のり梅とろろ昆布</t>
  </si>
  <si>
    <t>青　梅とろろ昆布</t>
  </si>
  <si>
    <t>青のり梅とろろ昆布冷</t>
  </si>
  <si>
    <t>　アスパラベーコン天</t>
  </si>
  <si>
    <t>　とうもろこし天</t>
  </si>
  <si>
    <t>corn tempura</t>
  </si>
  <si>
    <t>　トッピングセット</t>
  </si>
  <si>
    <t>極太　ふわとろ月見ぶっかけうどん</t>
  </si>
  <si>
    <t>極太　ふわとろ月見　</t>
  </si>
  <si>
    <t>moon viewing</t>
  </si>
  <si>
    <t>udon with extra thick</t>
  </si>
  <si>
    <t>青のり　ふわとろ月見ぶっかけうどん</t>
  </si>
  <si>
    <t>青のり　ふわとろ月見</t>
  </si>
  <si>
    <t>udon and aonori</t>
  </si>
  <si>
    <t>極太　ふわとろ月見　かけうどん</t>
  </si>
  <si>
    <t>青のり　ふわとろ月見　かけうどん</t>
  </si>
  <si>
    <t>極太　きつね　かけうどん</t>
  </si>
  <si>
    <t>極太　きつね　かけ</t>
  </si>
  <si>
    <t>extra thick udon</t>
  </si>
  <si>
    <t>青のり　きつね　かけうどん</t>
  </si>
  <si>
    <t>青のり　きつね　かけ</t>
  </si>
  <si>
    <t>極太　きつね　ぶっかけうどん</t>
  </si>
  <si>
    <t>極太　きつね　</t>
  </si>
  <si>
    <t>極太　きつね　ぶっか</t>
  </si>
  <si>
    <t>青のり　きつね　ぶっかけうどん</t>
  </si>
  <si>
    <t>青のり　きつね　</t>
  </si>
  <si>
    <t>青のり　きつね　ぶっ</t>
  </si>
  <si>
    <t>極太　日替りかけうどん（温）</t>
  </si>
  <si>
    <t>極太　日替り</t>
  </si>
  <si>
    <t>warm udon noodle</t>
  </si>
  <si>
    <t>極太　日替りかけうど</t>
  </si>
  <si>
    <t>青のり　日替りかけうどん（温）</t>
  </si>
  <si>
    <t>青のり　日替り</t>
  </si>
  <si>
    <t>青のり　日替りかけう</t>
  </si>
  <si>
    <t>極太　日替り　ぶっかけうどん（冷）</t>
  </si>
  <si>
    <t>極太　日替り　</t>
  </si>
  <si>
    <t>ぶっかけうどん（冷）</t>
  </si>
  <si>
    <t>cold udon noodle</t>
  </si>
  <si>
    <t>青のり　日替り　ぶっかけうどん（冷）</t>
  </si>
  <si>
    <t>青のり　日替り　</t>
  </si>
  <si>
    <t>青のり　日替り　ぶっ</t>
  </si>
  <si>
    <t>極太　梅ととろ昆布　かけうどん</t>
  </si>
  <si>
    <t>極太　梅ととろ昆布　</t>
  </si>
  <si>
    <t>shavings of kelp</t>
  </si>
  <si>
    <t>青のり　梅ととろ昆布　かけうどん</t>
  </si>
  <si>
    <t>青のり　梅ととろ昆布</t>
  </si>
  <si>
    <t>極太　冷かけうどん</t>
  </si>
  <si>
    <t>extra thick cold</t>
  </si>
  <si>
    <t>青のり　冷かけうどん</t>
  </si>
  <si>
    <t>aonori cold</t>
  </si>
  <si>
    <t>【注意1】</t>
  </si>
  <si>
    <t>日本語の色が付いている部分を各言語に翻訳してください。</t>
  </si>
  <si>
    <t>韓国語</t>
  </si>
  <si>
    <t>日本語の内容は変更不可です。</t>
  </si>
  <si>
    <t>【注意2】</t>
  </si>
  <si>
    <r>
      <rPr>
        <sz val="11"/>
        <color theme="1"/>
        <rFont val="Aptos Narrow"/>
      </rPr>
      <t>左側のページの2～5行目はカテゴリー名で、英語は10文字×2、それ以外は5文字×2のデータとなります。</t>
    </r>
    <r>
      <rPr>
        <sz val="11"/>
        <color rgb="FFFF0000"/>
        <rFont val="游ゴシック"/>
        <family val="3"/>
        <charset val="128"/>
      </rPr>
      <t>文字数の制限を超えない事</t>
    </r>
  </si>
  <si>
    <t>日本語の例</t>
  </si>
  <si>
    <t>2行目の背景が青色の日本語を翻訳してください。（3行目：英語、4行目：韓国語、5行目：中国語）</t>
  </si>
  <si>
    <t>　　　　</t>
  </si>
  <si>
    <t>表示出来る文字数の制限があるので、2段表示で拡張出来る用にしています。例）カテゴリー1－1が上段、カテゴリー1－2が下段に表示される。</t>
  </si>
  <si>
    <t>例えばオータムフェアーは7文字ですので、「オータム」と「フェアー」と分けていて、その場合は、2段で表示されます。（右図参照）</t>
  </si>
  <si>
    <t>翻訳後の言語で1列に纏まるのであれば、1列で構いません（英語だとAutumnFairと10文字なので1列に入ります。）その場合は、1段表示となります。</t>
  </si>
  <si>
    <t>英語の例</t>
  </si>
  <si>
    <t>中国語、韓国語の場合、5文字以内に収まらない場合は、適当な場所で区切って2段表示にしてください。（2段目を使用しない場合は空白とします）</t>
  </si>
  <si>
    <t>日本語を翻訳した結果、文字数をオーバーしないように工夫して文字数内に収めてください。</t>
  </si>
  <si>
    <t>【注意3】</t>
  </si>
  <si>
    <r>
      <rPr>
        <sz val="11"/>
        <color theme="1"/>
        <rFont val="Aptos Narrow"/>
      </rPr>
      <t>左側のページの7行目が商品登録のタイトル、8行目以降がデータとなります。</t>
    </r>
    <r>
      <rPr>
        <sz val="11"/>
        <color rgb="FF00B0F0"/>
        <rFont val="游ゴシック"/>
        <family val="3"/>
        <charset val="128"/>
      </rPr>
      <t>(左端の背景がグレーに塗ってある商品名は商品識別用のデータで翻訳の対象ではありません）</t>
    </r>
  </si>
  <si>
    <t>日本語のデータがある部分を翻訳して英語、韓国語、中国語のデータを入れてください。（日本語が1行で収まり2行目が空白の場合でも、翻訳結果が1行で収まらない場合は2行目も使って構いません。）</t>
  </si>
  <si>
    <t>表示商品名1(日)と表示商品名2(日)の翻訳結果を、英語の場合は表示商品名1(英)と表示商品名2(英)に、韓国語の場合は表示商品名1(韓)と表示商品名2(韓)に、中国語の場合は、表示商品名1(中)と表示商品名2(中)に記入してください。</t>
  </si>
  <si>
    <t>印刷商品名1(日)と印刷商品名2(日)の翻訳結果を、英語の場合は印刷商品名1(英)と印刷商品名2(英)に、韓国語の場合は印刷商品名1(韓)と印刷商品名2(韓)に、中国語の場合は、印刷商品名1(中)と印刷商品名2(中)に記入してください。</t>
  </si>
  <si>
    <t>表示商品名1(日)と表示商品名2(日)、印刷商品名1(日)と印刷商品名2(日)については、2つを合成した物を翻訳する形です。</t>
  </si>
  <si>
    <t>右図の「フィッシュアンドチップス」を見ていただくと分かりますが、表示エリアの関係で、2行で表示するようにしています。</t>
  </si>
  <si>
    <t>表示商品名1(日)「フィッシュアンド」表示商品名2(日)「チップス」の場合、「フィッシュアンドチップス」を翻訳してください。</t>
  </si>
  <si>
    <t>例えば英語で翻訳した場合、「Fish and chips」（機械翻訳）とかになると思います。</t>
  </si>
  <si>
    <t>翻訳結果が英語20文字、それ以外10文字に収まる場合は、1段表示でも構いません。（その場合は右下図のようになります。）</t>
  </si>
  <si>
    <t>日本語が１段のみ使用している場合に、翻訳結果が1段分に収まらず2段目を使用しても問題ありません。</t>
  </si>
  <si>
    <t>英語の場合、翻訳結果を表示商品名1(英)に入力します。（1段で収まらず2つに分けた場合は、表示商品名2(英)にも入力します）</t>
  </si>
  <si>
    <t>なお、2つに分割する場合は、英語、韓国語、中国語の言語圏の方が読んで理解出来る形に、文章を2つに分けてください。</t>
  </si>
  <si>
    <t>各枠の最大文字は韓国語、中国語は10文字、英語は20文字までです。超えない様にしてください。（翻訳結果が超えてしまう場合は一部を省略しても構いません）</t>
  </si>
  <si>
    <t>例）「当店自慢特製自家製の」、「スペシャルカツ丼」という商品があり、普通に翻訳すると文字数オーバーする場合、重要なのは「スペシャルカツ丼」の部分で、</t>
  </si>
  <si>
    <t>　「当店自慢特製自家製の」は直接の商品名ではないのでこの部分を同じ様な表現の短い文に翻訳するなどしてください。</t>
  </si>
  <si>
    <t>表示商品名1(日)、表示商品名2(日)と、印刷商品名1(日)、印刷商品名2(日)は同じ場合が多いですが、変更されている場合もあります。</t>
  </si>
  <si>
    <t>同じ場合はコピーする形でも構いませんが、必ず本当に同じ内容であるかの確認をしてください。</t>
  </si>
  <si>
    <t>【注意4】</t>
  </si>
  <si>
    <t>商品リスト省略名について</t>
  </si>
  <si>
    <t>商品リスト省略名(日)は、表示商品名1(日)と表示商品名2(日)を結合し、先頭から10文字分取り出したものです。</t>
  </si>
  <si>
    <t>商品リスト省略名(日)を翻訳して、直接商品リスト省略名(英)、商品リスト省略名(韓)、商品リスト省略名(中)に入れないでください。</t>
  </si>
  <si>
    <t>表示商品名1(日)と表示商品名2(日)を結合して翻訳した後、文字数が10文字（英語の場合は20文字）をオーバーする場合は、商品の内容が分かるようにして文字数内に省略し、各言語の商品リスト省略名に記入してください。</t>
  </si>
  <si>
    <t>ただし、商品リスト省略名(日)が整形済みの場合…例えば表示商品名が「当店自慢特製豪華」「鰻白焼き定食」で、商品リスト省略名(日)が「鰻白焼き定食」だった場合など（デフォルトでは「当店自慢特製豪華鰻白」になる）</t>
  </si>
  <si>
    <t>この場合は、そのまま商品リスト省略名(日)の「鰻白焼き定食」を翻訳して、各言語の商品リスト省略名に記入してください。</t>
  </si>
  <si>
    <t>【注意5】</t>
  </si>
  <si>
    <t>味変設定について</t>
  </si>
  <si>
    <t>味変設定はオプションなので、使用する場合としない場合があります。</t>
  </si>
  <si>
    <t>背景色が設定されていない(白の）場合は味変設定は使用しませんので、翻訳も必要ありません。</t>
  </si>
  <si>
    <t>背景色が設定されている場合は、日本語が記入されている箇所のみ翻訳して下さい。</t>
  </si>
  <si>
    <t>味変設定は、1つのタイトルに3つの候補の組合せで、それが3セット設定出来ます。</t>
  </si>
  <si>
    <t>右図の青枠の3つがタイトルで、味変設定1(日)、味変設定2(日)、味変設定3(日)に相当します。</t>
  </si>
  <si>
    <t>味変設定1(日)を翻訳したものは、味変設定1(英)、味変設定1(韓)、味変設定1(中)に格納してください、味変設定2(日)、味変設定3(日)も同様です。</t>
  </si>
  <si>
    <t>緑枠は各タイトルごとに3つの候補が設定できます。味変設定1(日)の場合、味変設定1(日)の場合、味変1候補1(日)、味変1候補2(日)、味変1候補3(日)が相当します。</t>
  </si>
  <si>
    <t>味変設定2(日)の場合、味変2候補1(日)、味変2候補2(日)、味変2候補3(日)が、味変設定3(日)の場合、味変3候補1(日)、味変3候補2(日)、味変3候補3(日)となります。</t>
  </si>
  <si>
    <t>味変1候補1(日)を翻訳したものは、味変1候補1(英)、味変1候補1(韓)、味変1候補1(中)に格納してください。味変1候補2(日)、味変1候補3(日)も同様です。</t>
  </si>
  <si>
    <t>味変2候補1(日)を翻訳したものは、味変2候補1(英)、味変2候補1(韓)、味変2候補1(中)に格納してください。味変2候補2(日)、味変2候補3(日)も同様です。</t>
  </si>
  <si>
    <t>味変3候補1(日)を翻訳したものは、味変3候補1(英)、味変3候補1(韓)、味変3候補1(中)に格納してください。味変3候補2(日)、味変3候補3(日)も同様です。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</si>
</sst>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scheme val="minor"/>
    </font>
    <font>
      <sz val="11"/>
      <color theme="1"/>
      <name val="Aptos Narrow"/>
      <scheme val="minor"/>
    </font>
    <font>
      <sz val="11"/>
      <color theme="1"/>
      <name val="游ゴシック"/>
      <family val="3"/>
      <charset val="128"/>
    </font>
    <font>
      <sz val="11"/>
      <color rgb="FF111111"/>
      <name val="Roboto"/>
    </font>
    <font>
      <sz val="11"/>
      <color rgb="FF111111"/>
      <name val="Arial"/>
    </font>
    <font>
      <sz val="11"/>
      <color rgb="FF242424"/>
      <name val="Arial"/>
    </font>
    <font>
      <sz val="11"/>
      <color rgb="FF333333"/>
      <name val="Arial"/>
    </font>
    <font>
      <b/>
      <sz val="11"/>
      <color rgb="FFFF0000"/>
      <name val="游ゴシック"/>
      <family val="3"/>
      <charset val="128"/>
    </font>
    <font>
      <sz val="11"/>
      <color rgb="FFFF0000"/>
      <name val="游ゴシック"/>
      <family val="3"/>
      <charset val="128"/>
    </font>
    <font>
      <sz val="11"/>
      <color rgb="FF00B050"/>
      <name val="游ゴシック"/>
      <family val="3"/>
      <charset val="128"/>
    </font>
    <font>
      <sz val="11"/>
      <color rgb="FF00B0F0"/>
      <name val="游ゴシック"/>
      <family val="3"/>
      <charset val="128"/>
    </font>
    <font>
      <sz val="11"/>
      <color theme="1"/>
      <name val="Aptos Narrow"/>
    </font>
    <font>
      <sz val="6"/>
      <name val="Aptos Narrow"/>
      <family val="3"/>
      <charset val="128"/>
      <scheme val="minor"/>
    </font>
  </fonts>
  <fills count="7">
    <fill>
      <patternFill patternType="none"/>
    </fill>
    <fill>
      <patternFill patternType="gray125"/>
    </fill>
    <fill>
      <patternFill patternType="solid">
        <fgColor rgb="FFC1E4F5"/>
        <bgColor rgb="FFC1E4F5"/>
      </patternFill>
    </fill>
    <fill>
      <patternFill patternType="solid">
        <fgColor rgb="FFFAE2D5"/>
        <bgColor rgb="FFFAE2D5"/>
      </patternFill>
    </fill>
    <fill>
      <patternFill patternType="solid">
        <fgColor rgb="FFC1F0C8"/>
        <bgColor rgb="FFC1F0C8"/>
      </patternFill>
    </fill>
    <fill>
      <patternFill patternType="solid">
        <fgColor rgb="FFF1CEEE"/>
        <bgColor rgb="FFF1CEEE"/>
      </patternFill>
    </fill>
    <fill>
      <patternFill patternType="solid">
        <fgColor rgb="FFD8D8D8"/>
        <bgColor rgb="FFD8D8D8"/>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diagonal/>
    </border>
  </borders>
  <cellStyleXfs count="1">
    <xf numFmtId="0" fontId="0" fillId="0" borderId="0"/>
  </cellStyleXfs>
  <cellXfs count="23">
    <xf numFmtId="0" fontId="0" fillId="0" borderId="0" xfId="0" applyAlignment="1">
      <alignment vertical="center"/>
    </xf>
    <xf numFmtId="0" fontId="1" fillId="0" borderId="0" xfId="0" applyFont="1" applyAlignment="1">
      <alignment vertical="center"/>
    </xf>
    <xf numFmtId="0" fontId="2" fillId="0" borderId="1" xfId="0" applyFont="1" applyBorder="1" applyAlignment="1">
      <alignment vertical="center"/>
    </xf>
    <xf numFmtId="0" fontId="2" fillId="2" borderId="1" xfId="0" applyFont="1" applyFill="1" applyBorder="1" applyAlignment="1">
      <alignment vertical="center"/>
    </xf>
    <xf numFmtId="0" fontId="2" fillId="2" borderId="2" xfId="0" applyFont="1" applyFill="1" applyBorder="1" applyAlignment="1">
      <alignment vertical="center"/>
    </xf>
    <xf numFmtId="0" fontId="2" fillId="3" borderId="1" xfId="0" applyFont="1" applyFill="1" applyBorder="1" applyAlignment="1">
      <alignment vertical="center"/>
    </xf>
    <xf numFmtId="0" fontId="2" fillId="4" borderId="1" xfId="0" applyFont="1" applyFill="1" applyBorder="1" applyAlignment="1">
      <alignment vertical="center"/>
    </xf>
    <xf numFmtId="0" fontId="2" fillId="5" borderId="1" xfId="0" applyFont="1" applyFill="1" applyBorder="1" applyAlignment="1">
      <alignment vertical="center"/>
    </xf>
    <xf numFmtId="0" fontId="2" fillId="6" borderId="1" xfId="0" applyFont="1" applyFill="1" applyBorder="1" applyAlignment="1">
      <alignment vertical="center"/>
    </xf>
    <xf numFmtId="0" fontId="1" fillId="4" borderId="0" xfId="0" applyFont="1" applyFill="1" applyAlignment="1">
      <alignment vertical="center"/>
    </xf>
    <xf numFmtId="0" fontId="3" fillId="3" borderId="0" xfId="0" applyFont="1" applyFill="1" applyAlignment="1">
      <alignment horizontal="left" vertical="center"/>
    </xf>
    <xf numFmtId="0" fontId="4" fillId="3" borderId="0" xfId="0" applyFont="1" applyFill="1" applyAlignment="1">
      <alignment horizontal="left" vertical="center"/>
    </xf>
    <xf numFmtId="0" fontId="5" fillId="3" borderId="0" xfId="0" applyFont="1" applyFill="1" applyAlignment="1">
      <alignment vertical="center"/>
    </xf>
    <xf numFmtId="0" fontId="6" fillId="3" borderId="0" xfId="0" applyFont="1" applyFill="1" applyAlignment="1">
      <alignment horizontal="left" vertical="center"/>
    </xf>
    <xf numFmtId="0" fontId="7" fillId="0" borderId="0" xfId="0" applyFont="1" applyAlignment="1">
      <alignment vertical="center"/>
    </xf>
    <xf numFmtId="0" fontId="2" fillId="2" borderId="3" xfId="0" applyFont="1" applyFill="1" applyBorder="1" applyAlignment="1">
      <alignment vertical="center"/>
    </xf>
    <xf numFmtId="0" fontId="2" fillId="3" borderId="3" xfId="0" applyFont="1" applyFill="1" applyBorder="1" applyAlignment="1">
      <alignment vertical="center"/>
    </xf>
    <xf numFmtId="0" fontId="2" fillId="4" borderId="3" xfId="0" applyFont="1" applyFill="1" applyBorder="1" applyAlignment="1">
      <alignment vertical="center"/>
    </xf>
    <xf numFmtId="0" fontId="2" fillId="5" borderId="3" xfId="0" applyFont="1" applyFill="1" applyBorder="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vertical="center"/>
    </xf>
    <xf numFmtId="0" fontId="10"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jpg"/><Relationship Id="rId5" Type="http://schemas.openxmlformats.org/officeDocument/2006/relationships/image" Target="../media/image5.jpg"/><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oneCellAnchor>
    <xdr:from>
      <xdr:col>17</xdr:col>
      <xdr:colOff>352425</xdr:colOff>
      <xdr:row>44</xdr:row>
      <xdr:rowOff>28575</xdr:rowOff>
    </xdr:from>
    <xdr:ext cx="504825" cy="1057275"/>
    <xdr:sp macro="" textlink="">
      <xdr:nvSpPr>
        <xdr:cNvPr id="3" name="Shape 3">
          <a:extLst>
            <a:ext uri="{FF2B5EF4-FFF2-40B4-BE49-F238E27FC236}">
              <a16:creationId xmlns:a16="http://schemas.microsoft.com/office/drawing/2014/main" id="{00000000-0008-0000-0100-000003000000}"/>
            </a:ext>
          </a:extLst>
        </xdr:cNvPr>
        <xdr:cNvSpPr/>
      </xdr:nvSpPr>
      <xdr:spPr>
        <a:xfrm>
          <a:off x="5103113" y="3260888"/>
          <a:ext cx="485775" cy="1038225"/>
        </a:xfrm>
        <a:prstGeom prst="rect">
          <a:avLst/>
        </a:prstGeom>
        <a:noFill/>
        <a:ln w="19050" cap="flat" cmpd="sng">
          <a:solidFill>
            <a:srgbClr val="0070C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18</xdr:col>
      <xdr:colOff>428625</xdr:colOff>
      <xdr:row>44</xdr:row>
      <xdr:rowOff>28575</xdr:rowOff>
    </xdr:from>
    <xdr:ext cx="2066925" cy="1057275"/>
    <xdr:sp macro="" textlink="">
      <xdr:nvSpPr>
        <xdr:cNvPr id="4" name="Shape 4">
          <a:extLst>
            <a:ext uri="{FF2B5EF4-FFF2-40B4-BE49-F238E27FC236}">
              <a16:creationId xmlns:a16="http://schemas.microsoft.com/office/drawing/2014/main" id="{00000000-0008-0000-0100-000004000000}"/>
            </a:ext>
          </a:extLst>
        </xdr:cNvPr>
        <xdr:cNvSpPr/>
      </xdr:nvSpPr>
      <xdr:spPr>
        <a:xfrm>
          <a:off x="4322063" y="3260888"/>
          <a:ext cx="2047875" cy="1038225"/>
        </a:xfrm>
        <a:prstGeom prst="rect">
          <a:avLst/>
        </a:prstGeom>
        <a:no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17</xdr:col>
      <xdr:colOff>352425</xdr:colOff>
      <xdr:row>44</xdr:row>
      <xdr:rowOff>28575</xdr:rowOff>
    </xdr:from>
    <xdr:ext cx="504825" cy="1057275"/>
    <xdr:sp macro="" textlink="">
      <xdr:nvSpPr>
        <xdr:cNvPr id="2" name="Shape 3">
          <a:extLst>
            <a:ext uri="{FF2B5EF4-FFF2-40B4-BE49-F238E27FC236}">
              <a16:creationId xmlns:a16="http://schemas.microsoft.com/office/drawing/2014/main" id="{00000000-0008-0000-0100-000002000000}"/>
            </a:ext>
          </a:extLst>
        </xdr:cNvPr>
        <xdr:cNvSpPr/>
      </xdr:nvSpPr>
      <xdr:spPr>
        <a:xfrm>
          <a:off x="5103113" y="3260888"/>
          <a:ext cx="485775" cy="1038225"/>
        </a:xfrm>
        <a:prstGeom prst="rect">
          <a:avLst/>
        </a:prstGeom>
        <a:noFill/>
        <a:ln w="19050" cap="flat" cmpd="sng">
          <a:solidFill>
            <a:srgbClr val="0070C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18</xdr:col>
      <xdr:colOff>428625</xdr:colOff>
      <xdr:row>44</xdr:row>
      <xdr:rowOff>28575</xdr:rowOff>
    </xdr:from>
    <xdr:ext cx="2066925" cy="1057275"/>
    <xdr:sp macro="" textlink="">
      <xdr:nvSpPr>
        <xdr:cNvPr id="5" name="Shape 4">
          <a:extLst>
            <a:ext uri="{FF2B5EF4-FFF2-40B4-BE49-F238E27FC236}">
              <a16:creationId xmlns:a16="http://schemas.microsoft.com/office/drawing/2014/main" id="{00000000-0008-0000-0100-000005000000}"/>
            </a:ext>
          </a:extLst>
        </xdr:cNvPr>
        <xdr:cNvSpPr/>
      </xdr:nvSpPr>
      <xdr:spPr>
        <a:xfrm>
          <a:off x="4322063" y="3260888"/>
          <a:ext cx="2047875" cy="1038225"/>
        </a:xfrm>
        <a:prstGeom prst="rect">
          <a:avLst/>
        </a:prstGeom>
        <a:no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17</xdr:col>
      <xdr:colOff>409575</xdr:colOff>
      <xdr:row>3</xdr:row>
      <xdr:rowOff>0</xdr:rowOff>
    </xdr:from>
    <xdr:ext cx="1952625" cy="561975"/>
    <xdr:pic>
      <xdr:nvPicPr>
        <xdr:cNvPr id="6" name="image1.jpg">
          <a:extLst>
            <a:ext uri="{FF2B5EF4-FFF2-40B4-BE49-F238E27FC236}">
              <a16:creationId xmlns:a16="http://schemas.microsoft.com/office/drawing/2014/main" id="{00000000-0008-0000-0100-000006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17</xdr:col>
      <xdr:colOff>428625</xdr:colOff>
      <xdr:row>6</xdr:row>
      <xdr:rowOff>209550</xdr:rowOff>
    </xdr:from>
    <xdr:ext cx="1952625" cy="561975"/>
    <xdr:pic>
      <xdr:nvPicPr>
        <xdr:cNvPr id="7" name="image4.jpg">
          <a:extLst>
            <a:ext uri="{FF2B5EF4-FFF2-40B4-BE49-F238E27FC236}">
              <a16:creationId xmlns:a16="http://schemas.microsoft.com/office/drawing/2014/main" id="{00000000-0008-0000-0100-000007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16</xdr:col>
      <xdr:colOff>381000</xdr:colOff>
      <xdr:row>15</xdr:row>
      <xdr:rowOff>0</xdr:rowOff>
    </xdr:from>
    <xdr:ext cx="2695575" cy="1095375"/>
    <xdr:pic>
      <xdr:nvPicPr>
        <xdr:cNvPr id="8" name="image3.jpg">
          <a:extLst>
            <a:ext uri="{FF2B5EF4-FFF2-40B4-BE49-F238E27FC236}">
              <a16:creationId xmlns:a16="http://schemas.microsoft.com/office/drawing/2014/main" id="{00000000-0008-0000-0100-000008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16</xdr:col>
      <xdr:colOff>381000</xdr:colOff>
      <xdr:row>20</xdr:row>
      <xdr:rowOff>219075</xdr:rowOff>
    </xdr:from>
    <xdr:ext cx="2676525" cy="1104900"/>
    <xdr:pic>
      <xdr:nvPicPr>
        <xdr:cNvPr id="9" name="image5.jpg">
          <a:extLst>
            <a:ext uri="{FF2B5EF4-FFF2-40B4-BE49-F238E27FC236}">
              <a16:creationId xmlns:a16="http://schemas.microsoft.com/office/drawing/2014/main" id="{00000000-0008-0000-0100-000009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17</xdr:col>
      <xdr:colOff>409575</xdr:colOff>
      <xdr:row>3</xdr:row>
      <xdr:rowOff>0</xdr:rowOff>
    </xdr:from>
    <xdr:ext cx="1952625" cy="561975"/>
    <xdr:pic>
      <xdr:nvPicPr>
        <xdr:cNvPr id="10" name="image1.jpg">
          <a:extLst>
            <a:ext uri="{FF2B5EF4-FFF2-40B4-BE49-F238E27FC236}">
              <a16:creationId xmlns:a16="http://schemas.microsoft.com/office/drawing/2014/main" id="{00000000-0008-0000-0100-00000A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17</xdr:col>
      <xdr:colOff>428625</xdr:colOff>
      <xdr:row>6</xdr:row>
      <xdr:rowOff>209550</xdr:rowOff>
    </xdr:from>
    <xdr:ext cx="1952625" cy="561975"/>
    <xdr:pic>
      <xdr:nvPicPr>
        <xdr:cNvPr id="11" name="image4.jpg">
          <a:extLst>
            <a:ext uri="{FF2B5EF4-FFF2-40B4-BE49-F238E27FC236}">
              <a16:creationId xmlns:a16="http://schemas.microsoft.com/office/drawing/2014/main" id="{00000000-0008-0000-0100-00000B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16</xdr:col>
      <xdr:colOff>381000</xdr:colOff>
      <xdr:row>15</xdr:row>
      <xdr:rowOff>0</xdr:rowOff>
    </xdr:from>
    <xdr:ext cx="2695575" cy="1095375"/>
    <xdr:pic>
      <xdr:nvPicPr>
        <xdr:cNvPr id="12" name="image3.jpg">
          <a:extLst>
            <a:ext uri="{FF2B5EF4-FFF2-40B4-BE49-F238E27FC236}">
              <a16:creationId xmlns:a16="http://schemas.microsoft.com/office/drawing/2014/main" id="{00000000-0008-0000-0100-00000C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16</xdr:col>
      <xdr:colOff>381000</xdr:colOff>
      <xdr:row>20</xdr:row>
      <xdr:rowOff>219075</xdr:rowOff>
    </xdr:from>
    <xdr:ext cx="2676525" cy="1104900"/>
    <xdr:pic>
      <xdr:nvPicPr>
        <xdr:cNvPr id="13" name="image5.jpg">
          <a:extLst>
            <a:ext uri="{FF2B5EF4-FFF2-40B4-BE49-F238E27FC236}">
              <a16:creationId xmlns:a16="http://schemas.microsoft.com/office/drawing/2014/main" id="{00000000-0008-0000-0100-00000D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17</xdr:col>
      <xdr:colOff>228600</xdr:colOff>
      <xdr:row>36</xdr:row>
      <xdr:rowOff>180975</xdr:rowOff>
    </xdr:from>
    <xdr:ext cx="2962275" cy="2990850"/>
    <xdr:pic>
      <xdr:nvPicPr>
        <xdr:cNvPr id="14" name="image2.jpg">
          <a:extLst>
            <a:ext uri="{FF2B5EF4-FFF2-40B4-BE49-F238E27FC236}">
              <a16:creationId xmlns:a16="http://schemas.microsoft.com/office/drawing/2014/main" id="{00000000-0008-0000-0100-00000E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R1000"/>
  <sheetViews>
    <sheetView tabSelected="1" topLeftCell="O1" workbookViewId="0">
      <selection activeCell="X49" sqref="X49"/>
    </sheetView>
  </sheetViews>
  <sheetFormatPr defaultColWidth="12.5703125" defaultRowHeight="15" customHeight="1" x14ac:dyDescent="0.25"/>
  <cols>
    <col min="1" max="1" width="7.5703125" customWidth="1"/>
    <col min="2" max="2" width="33" customWidth="1"/>
    <col min="3" max="3" width="17" customWidth="1"/>
    <col min="4" max="18" width="16.85546875" customWidth="1"/>
    <col min="19" max="19" width="19.42578125" customWidth="1"/>
    <col min="20" max="70" width="16.85546875" customWidth="1"/>
  </cols>
  <sheetData>
    <row r="1" spans="1:70" ht="18.75" customHeight="1" x14ac:dyDescent="0.25">
      <c r="B1" s="1" t="s">
        <v>0</v>
      </c>
      <c r="C1" s="1" t="s">
        <v>1</v>
      </c>
      <c r="D1" s="1" t="s">
        <v>2</v>
      </c>
      <c r="E1" s="1" t="s">
        <v>3</v>
      </c>
      <c r="F1" s="2" t="s">
        <v>4</v>
      </c>
      <c r="G1" s="2" t="s">
        <v>5</v>
      </c>
      <c r="H1" s="2" t="s">
        <v>6</v>
      </c>
      <c r="I1" s="2" t="s">
        <v>7</v>
      </c>
      <c r="J1" s="2" t="s">
        <v>8</v>
      </c>
      <c r="K1" s="2" t="s">
        <v>9</v>
      </c>
      <c r="L1" s="2" t="s">
        <v>10</v>
      </c>
      <c r="M1" s="2" t="s">
        <v>11</v>
      </c>
      <c r="N1" s="2" t="s">
        <v>12</v>
      </c>
      <c r="O1" s="2" t="s">
        <v>13</v>
      </c>
      <c r="P1" s="2" t="s">
        <v>14</v>
      </c>
      <c r="Q1" s="2" t="s">
        <v>15</v>
      </c>
      <c r="R1" s="2" t="s">
        <v>16</v>
      </c>
      <c r="S1" s="2" t="s">
        <v>17</v>
      </c>
      <c r="T1" s="2" t="s">
        <v>18</v>
      </c>
      <c r="U1" s="2" t="s">
        <v>19</v>
      </c>
      <c r="V1" s="2" t="s">
        <v>20</v>
      </c>
      <c r="W1" s="2" t="s">
        <v>21</v>
      </c>
      <c r="X1" s="2" t="s">
        <v>22</v>
      </c>
      <c r="Y1" s="2" t="s">
        <v>23</v>
      </c>
    </row>
    <row r="2" spans="1:70" ht="18.75" customHeight="1" x14ac:dyDescent="0.25">
      <c r="A2" s="3" t="s">
        <v>24</v>
      </c>
      <c r="B2" s="3" t="s">
        <v>25</v>
      </c>
      <c r="C2" s="3" t="s">
        <v>26</v>
      </c>
      <c r="D2" s="3" t="s">
        <v>27</v>
      </c>
      <c r="E2" s="4" t="s">
        <v>28</v>
      </c>
      <c r="F2" s="3" t="s">
        <v>29</v>
      </c>
      <c r="G2" s="3" t="s">
        <v>26</v>
      </c>
      <c r="H2" s="3" t="s">
        <v>29</v>
      </c>
      <c r="I2" s="3" t="s">
        <v>28</v>
      </c>
      <c r="J2" s="3" t="s">
        <v>30</v>
      </c>
      <c r="K2" s="3" t="s">
        <v>26</v>
      </c>
      <c r="L2" s="3" t="s">
        <v>30</v>
      </c>
      <c r="M2" s="3" t="s">
        <v>28</v>
      </c>
      <c r="N2" s="3" t="s">
        <v>31</v>
      </c>
      <c r="O2" s="3"/>
      <c r="P2" s="3" t="s">
        <v>32</v>
      </c>
      <c r="Q2" s="3"/>
      <c r="R2" s="3" t="s">
        <v>33</v>
      </c>
      <c r="S2" s="3" t="s">
        <v>34</v>
      </c>
      <c r="T2" s="3" t="s">
        <v>35</v>
      </c>
      <c r="U2" s="3" t="s">
        <v>36</v>
      </c>
      <c r="V2" s="3" t="s">
        <v>37</v>
      </c>
      <c r="W2" s="3" t="s">
        <v>38</v>
      </c>
      <c r="X2" s="3" t="s">
        <v>39</v>
      </c>
      <c r="Y2" s="3" t="s">
        <v>37</v>
      </c>
    </row>
    <row r="3" spans="1:70" ht="18.75" customHeight="1" x14ac:dyDescent="0.25">
      <c r="A3" s="5" t="s">
        <v>40</v>
      </c>
      <c r="B3" s="5" t="str">
        <f ca="1">IFERROR(__xludf.DUMMYFUNCTION("GOOGLETRANSLATE(B2,""ja"",""en"")"),"warm")</f>
        <v>warm</v>
      </c>
      <c r="C3" s="5" t="str">
        <f ca="1">IFERROR(__xludf.DUMMYFUNCTION("GOOGLETRANSLATE(C2,""ja"",""en"")"),"Extra thick udon")</f>
        <v>Extra thick udon</v>
      </c>
      <c r="D3" s="5" t="str">
        <f ca="1">IFERROR(__xludf.DUMMYFUNCTION("GOOGLETRANSLATE(D2,""ja"",""en"")"),"Warm")</f>
        <v>Warm</v>
      </c>
      <c r="E3" s="5" t="str">
        <f ca="1">IFERROR(__xludf.DUMMYFUNCTION("GOOGLETRANSLATE(E2,""ja"",""en"")"),"Aonori udon")</f>
        <v>Aonori udon</v>
      </c>
      <c r="F3" s="5" t="str">
        <f ca="1">IFERROR(__xludf.DUMMYFUNCTION("GOOGLETRANSLATE(F2,""ja"",""en"")"),"cold")</f>
        <v>cold</v>
      </c>
      <c r="G3" s="5" t="str">
        <f ca="1">IFERROR(__xludf.DUMMYFUNCTION("GOOGLETRANSLATE(G2,""ja"",""en"")"),"Extra thick udon")</f>
        <v>Extra thick udon</v>
      </c>
      <c r="H3" s="5" t="str">
        <f ca="1">IFERROR(__xludf.DUMMYFUNCTION("GOOGLETRANSLATE(H2,""ja"",""en"")"),"cold")</f>
        <v>cold</v>
      </c>
      <c r="I3" s="5" t="str">
        <f ca="1">IFERROR(__xludf.DUMMYFUNCTION("GOOGLETRANSLATE(I2,""ja"",""en"")"),"Aonori udon")</f>
        <v>Aonori udon</v>
      </c>
      <c r="J3" s="5" t="str">
        <f ca="1">IFERROR(__xludf.DUMMYFUNCTION("GOOGLETRANSLATE(J2,""ja"",""en"")"),"seasonal")</f>
        <v>seasonal</v>
      </c>
      <c r="K3" s="5" t="str">
        <f ca="1">IFERROR(__xludf.DUMMYFUNCTION("GOOGLETRANSLATE(K2,""ja"",""en"")"),"Extra thick udon")</f>
        <v>Extra thick udon</v>
      </c>
      <c r="L3" s="5" t="str">
        <f ca="1">IFERROR(__xludf.DUMMYFUNCTION("GOOGLETRANSLATE(L2,""ja"",""en"")"),"seasonal")</f>
        <v>seasonal</v>
      </c>
      <c r="M3" s="5" t="str">
        <f ca="1">IFERROR(__xludf.DUMMYFUNCTION("GOOGLETRANSLATE(M2,""ja"",""en"")"),"Aonori udon")</f>
        <v>Aonori udon</v>
      </c>
      <c r="N3" s="5" t="str">
        <f ca="1">IFERROR(__xludf.DUMMYFUNCTION("GOOGLETRANSLATE(N2,""ja"",""en"")"),"topping")</f>
        <v>topping</v>
      </c>
      <c r="O3" s="5"/>
      <c r="P3" s="5" t="str">
        <f ca="1">IFERROR(__xludf.DUMMYFUNCTION("GOOGLETRANSLATE(P2,""ja"",""en"")"),"Drinks")</f>
        <v>Drinks</v>
      </c>
      <c r="Q3" s="5"/>
      <c r="R3" s="5" t="str">
        <f ca="1">IFERROR(__xludf.DUMMYFUNCTION("GOOGLETRANSLATE(R2,""ja"",""en"")"),"New menu")</f>
        <v>New menu</v>
      </c>
      <c r="S3" s="5" t="str">
        <f ca="1">IFERROR(__xludf.DUMMYFUNCTION("GOOGLETRANSLATE(S2,""ja"",""en"")"),"limited menu")</f>
        <v>limited menu</v>
      </c>
      <c r="T3" s="5" t="str">
        <f ca="1">IFERROR(__xludf.DUMMYFUNCTION("GOOGLETRANSLATE(T2,""ja"",""en"")"),"others")</f>
        <v>others</v>
      </c>
      <c r="U3" s="5" t="str">
        <f ca="1">IFERROR(__xludf.DUMMYFUNCTION("GOOGLETRANSLATE(U2,""ja"",""en"")"),"Single dish")</f>
        <v>Single dish</v>
      </c>
      <c r="V3" s="5" t="str">
        <f ca="1">IFERROR(__xludf.DUMMYFUNCTION("GOOGLETRANSLATE(V2,""ja"",""en"")"),"Food")</f>
        <v>Food</v>
      </c>
      <c r="W3" s="5" t="str">
        <f ca="1">IFERROR(__xludf.DUMMYFUNCTION("GOOGLETRANSLATE(W2,""ja"",""en"")"),"Small udon")</f>
        <v>Small udon</v>
      </c>
      <c r="X3" s="5" t="str">
        <f ca="1">IFERROR(__xludf.DUMMYFUNCTION("GOOGLETRANSLATE(X2,""ja"",""en"")"),"takeaway")</f>
        <v>takeaway</v>
      </c>
      <c r="Y3" s="5" t="str">
        <f ca="1">IFERROR(__xludf.DUMMYFUNCTION("GOOGLETRANSLATE(Y2,""ja"",""en"")"),"Food")</f>
        <v>Food</v>
      </c>
    </row>
    <row r="4" spans="1:70" ht="18.75" customHeight="1" x14ac:dyDescent="0.25">
      <c r="A4" s="6" t="s">
        <v>41</v>
      </c>
      <c r="B4" s="6" t="str">
        <f ca="1">IFERROR(__xludf.DUMMYFUNCTION("GOOGLETRANSLATE(B2,""ja"",""ko"")"),"따뜻한")</f>
        <v>따뜻한</v>
      </c>
      <c r="C4" s="6" t="str">
        <f ca="1">IFERROR(__xludf.DUMMYFUNCTION("GOOGLETRANSLATE(C2,""ja"",""ko"")"),"두꺼운 우동")</f>
        <v>두꺼운 우동</v>
      </c>
      <c r="D4" s="6" t="str">
        <f ca="1">IFERROR(__xludf.DUMMYFUNCTION("GOOGLETRANSLATE(D2,""ja"",""ko"")"),"따뜻한")</f>
        <v>따뜻한</v>
      </c>
      <c r="E4" s="6" t="str">
        <f ca="1">IFERROR(__xludf.DUMMYFUNCTION("GOOGLETRANSLATE(E2,""ja"",""ko"")"),"블루 노리 돈")</f>
        <v>블루 노리 돈</v>
      </c>
      <c r="F4" s="6" t="str">
        <f ca="1">IFERROR(__xludf.DUMMYFUNCTION("GOOGLETRANSLATE(F2,""ja"",""ko"")"),"차가운")</f>
        <v>차가운</v>
      </c>
      <c r="G4" s="6" t="str">
        <f ca="1">IFERROR(__xludf.DUMMYFUNCTION("GOOGLETRANSLATE(G2,""ja"",""ko"")"),"두꺼운 우동")</f>
        <v>두꺼운 우동</v>
      </c>
      <c r="H4" s="6" t="str">
        <f ca="1">IFERROR(__xludf.DUMMYFUNCTION("GOOGLETRANSLATE(H2,""ja"",""ko"")"),"차가운")</f>
        <v>차가운</v>
      </c>
      <c r="I4" s="6" t="str">
        <f ca="1">IFERROR(__xludf.DUMMYFUNCTION("GOOGLETRANSLATE(I2,""ja"",""ko"")"),"블루 노리 돈")</f>
        <v>블루 노리 돈</v>
      </c>
      <c r="J4" s="6" t="str">
        <f ca="1">IFERROR(__xludf.DUMMYFUNCTION("GOOGLETRANSLATE(J2,""ja"",""ko"")"),"계절 한정")</f>
        <v>계절 한정</v>
      </c>
      <c r="K4" s="6" t="str">
        <f ca="1">IFERROR(__xludf.DUMMYFUNCTION("GOOGLETRANSLATE(K2,""ja"",""ko"")"),"두꺼운 우동")</f>
        <v>두꺼운 우동</v>
      </c>
      <c r="L4" s="6" t="str">
        <f ca="1">IFERROR(__xludf.DUMMYFUNCTION("GOOGLETRANSLATE(L2,""ja"",""ko"")"),"계절 한정")</f>
        <v>계절 한정</v>
      </c>
      <c r="M4" s="6" t="str">
        <f ca="1">IFERROR(__xludf.DUMMYFUNCTION("GOOGLETRANSLATE(M2,""ja"",""ko"")"),"블루 노리 돈")</f>
        <v>블루 노리 돈</v>
      </c>
      <c r="N4" s="6" t="str">
        <f ca="1">IFERROR(__xludf.DUMMYFUNCTION("GOOGLETRANSLATE(N2,""ja"",""ko"")"),"토핑")</f>
        <v>토핑</v>
      </c>
      <c r="O4" s="6"/>
      <c r="P4" s="6" t="str">
        <f ca="1">IFERROR(__xludf.DUMMYFUNCTION("GOOGLETRANSLATE(P2,""ja"",""ko"")"),"음료류")</f>
        <v>음료류</v>
      </c>
      <c r="Q4" s="6"/>
      <c r="R4" s="6" t="str">
        <f ca="1">IFERROR(__xludf.DUMMYFUNCTION("GOOGLETRANSLATE(R2,""ja"",""ko"")"),"새로운 메뉴")</f>
        <v>새로운 메뉴</v>
      </c>
      <c r="S4" s="6" t="str">
        <f ca="1">IFERROR(__xludf.DUMMYFUNCTION("GOOGLETRANSLATE(S2,""ja"",""ko"")"),"한정 메뉴")</f>
        <v>한정 메뉴</v>
      </c>
      <c r="T4" s="6" t="str">
        <f ca="1">IFERROR(__xludf.DUMMYFUNCTION("GOOGLETRANSLATE(T2,""ja"",""ko"")"),"기타")</f>
        <v>기타</v>
      </c>
      <c r="U4" s="6" t="str">
        <f ca="1">IFERROR(__xludf.DUMMYFUNCTION("GOOGLETRANSLATE(U2,""ja"",""ko"")"),"단품요리")</f>
        <v>단품요리</v>
      </c>
      <c r="V4" s="6" t="str">
        <f ca="1">IFERROR(__xludf.DUMMYFUNCTION("GOOGLETRANSLATE(V2,""ja"",""ko"")"),"밥")</f>
        <v>밥</v>
      </c>
      <c r="W4" s="6" t="str">
        <f ca="1">IFERROR(__xludf.DUMMYFUNCTION("GOOGLETRANSLATE(W2,""ja"",""ko"")"),"작은 우동")</f>
        <v>작은 우동</v>
      </c>
      <c r="X4" s="6" t="str">
        <f ca="1">IFERROR(__xludf.DUMMYFUNCTION("GOOGLETRANSLATE(X2,""ja"",""ko"")"),"가져오기")</f>
        <v>가져오기</v>
      </c>
      <c r="Y4" s="6" t="str">
        <f ca="1">IFERROR(__xludf.DUMMYFUNCTION("GOOGLETRANSLATE(Y2,""ja"",""ko"")"),"밥")</f>
        <v>밥</v>
      </c>
    </row>
    <row r="5" spans="1:70" ht="18.75" customHeight="1" x14ac:dyDescent="0.25">
      <c r="A5" s="7" t="s">
        <v>42</v>
      </c>
      <c r="B5" s="7" t="str">
        <f ca="1">IFERROR(__xludf.DUMMYFUNCTION("GOOGLETRANSLATE(B2,""ja"",""zh"")"),"温暖的")</f>
        <v>温暖的</v>
      </c>
      <c r="C5" s="7" t="str">
        <f ca="1">IFERROR(__xludf.DUMMYFUNCTION("GOOGLETRANSLATE(C2,""ja"",""zh"")"),"特厚乌冬面")</f>
        <v>特厚乌冬面</v>
      </c>
      <c r="D5" s="7" t="str">
        <f ca="1">IFERROR(__xludf.DUMMYFUNCTION("GOOGLETRANSLATE(D2,""ja"",""zh"")"),"温暖的")</f>
        <v>温暖的</v>
      </c>
      <c r="E5" s="7" t="str">
        <f ca="1">IFERROR(__xludf.DUMMYFUNCTION("GOOGLETRANSLATE(E2,""ja"",""zh"")"),"青海乌冬面")</f>
        <v>青海乌冬面</v>
      </c>
      <c r="F5" s="7" t="str">
        <f ca="1">IFERROR(__xludf.DUMMYFUNCTION("GOOGLETRANSLATE(F2,""ja"",""zh"")"),"寒冷的")</f>
        <v>寒冷的</v>
      </c>
      <c r="G5" s="7" t="str">
        <f ca="1">IFERROR(__xludf.DUMMYFUNCTION("GOOGLETRANSLATE(G2,""ja"",""zh"")"),"特厚乌冬面")</f>
        <v>特厚乌冬面</v>
      </c>
      <c r="H5" s="7" t="str">
        <f ca="1">IFERROR(__xludf.DUMMYFUNCTION("GOOGLETRANSLATE(H2,""ja"",""zh"")"),"寒冷的")</f>
        <v>寒冷的</v>
      </c>
      <c r="I5" s="7" t="str">
        <f ca="1">IFERROR(__xludf.DUMMYFUNCTION("GOOGLETRANSLATE(I2,""ja"",""zh"")"),"青海乌冬面")</f>
        <v>青海乌冬面</v>
      </c>
      <c r="J5" s="7" t="str">
        <f ca="1">IFERROR(__xludf.DUMMYFUNCTION("GOOGLETRANSLATE(J2,""ja"",""zh"")"),"季节性的")</f>
        <v>季节性的</v>
      </c>
      <c r="K5" s="7" t="str">
        <f ca="1">IFERROR(__xludf.DUMMYFUNCTION("GOOGLETRANSLATE(K2,""ja"",""zh"")"),"特厚乌冬面")</f>
        <v>特厚乌冬面</v>
      </c>
      <c r="L5" s="7" t="str">
        <f ca="1">IFERROR(__xludf.DUMMYFUNCTION("GOOGLETRANSLATE(L2,""ja"",""zh"")"),"季节性的")</f>
        <v>季节性的</v>
      </c>
      <c r="M5" s="7" t="str">
        <f ca="1">IFERROR(__xludf.DUMMYFUNCTION("GOOGLETRANSLATE(M2,""ja"",""zh"")"),"青海乌冬面")</f>
        <v>青海乌冬面</v>
      </c>
      <c r="N5" s="7" t="str">
        <f ca="1">IFERROR(__xludf.DUMMYFUNCTION("GOOGLETRANSLATE(N2,""ja"",""zh"")"),"浇头")</f>
        <v>浇头</v>
      </c>
      <c r="O5" s="7"/>
      <c r="P5" s="7" t="str">
        <f ca="1">IFERROR(__xludf.DUMMYFUNCTION("GOOGLETRANSLATE(P2,""ja"",""zh"")"),"饮料")</f>
        <v>饮料</v>
      </c>
      <c r="Q5" s="7"/>
      <c r="R5" s="7" t="str">
        <f ca="1">IFERROR(__xludf.DUMMYFUNCTION("GOOGLETRANSLATE(R2,""ja"",""zh"")"),"新菜单")</f>
        <v>新菜单</v>
      </c>
      <c r="S5" s="7" t="str">
        <f ca="1">IFERROR(__xludf.DUMMYFUNCTION("GOOGLETRANSLATE(S2,""ja"",""zh"")"),"有限的菜单")</f>
        <v>有限的菜单</v>
      </c>
      <c r="T5" s="7" t="str">
        <f ca="1">IFERROR(__xludf.DUMMYFUNCTION("GOOGLETRANSLATE(T2,""ja"",""zh"")"),"其他的")</f>
        <v>其他的</v>
      </c>
      <c r="U5" s="7" t="str">
        <f ca="1">IFERROR(__xludf.DUMMYFUNCTION("GOOGLETRANSLATE(U2,""ja"",""zh"")"),"单菜")</f>
        <v>单菜</v>
      </c>
      <c r="V5" s="7" t="str">
        <f ca="1">IFERROR(__xludf.DUMMYFUNCTION("GOOGLETRANSLATE(V2,""ja"",""zh"")"),"食物")</f>
        <v>食物</v>
      </c>
      <c r="W5" s="7" t="str">
        <f ca="1">IFERROR(__xludf.DUMMYFUNCTION("GOOGLETRANSLATE(W2,""ja"",""zh"")"),"小乌冬面")</f>
        <v>小乌冬面</v>
      </c>
      <c r="X5" s="7" t="str">
        <f ca="1">IFERROR(__xludf.DUMMYFUNCTION("GOOGLETRANSLATE(X2,""ja"",""zh"")"),"外卖")</f>
        <v>外卖</v>
      </c>
      <c r="Y5" s="7" t="str">
        <f ca="1">IFERROR(__xludf.DUMMYFUNCTION("GOOGLETRANSLATE(Y2,""ja"",""zh"")"),"食物")</f>
        <v>食物</v>
      </c>
    </row>
    <row r="6" spans="1:70" ht="18.75" customHeight="1" x14ac:dyDescent="0.25"/>
    <row r="7" spans="1:70" ht="18.75" customHeight="1" x14ac:dyDescent="0.25">
      <c r="B7" s="8" t="s">
        <v>43</v>
      </c>
      <c r="C7" s="3" t="s">
        <v>44</v>
      </c>
      <c r="D7" s="3" t="s">
        <v>45</v>
      </c>
      <c r="E7" s="5" t="s">
        <v>46</v>
      </c>
      <c r="F7" s="5" t="s">
        <v>47</v>
      </c>
      <c r="G7" s="6" t="s">
        <v>48</v>
      </c>
      <c r="H7" s="6" t="s">
        <v>49</v>
      </c>
      <c r="I7" s="7" t="s">
        <v>50</v>
      </c>
      <c r="J7" s="7" t="s">
        <v>51</v>
      </c>
      <c r="K7" s="3" t="s">
        <v>52</v>
      </c>
      <c r="L7" s="3" t="s">
        <v>53</v>
      </c>
      <c r="M7" s="5" t="s">
        <v>54</v>
      </c>
      <c r="N7" s="5" t="s">
        <v>55</v>
      </c>
      <c r="O7" s="6" t="s">
        <v>56</v>
      </c>
      <c r="P7" s="6" t="s">
        <v>57</v>
      </c>
      <c r="Q7" s="7" t="s">
        <v>58</v>
      </c>
      <c r="R7" s="7" t="s">
        <v>59</v>
      </c>
      <c r="S7" s="3" t="s">
        <v>60</v>
      </c>
      <c r="T7" s="5" t="s">
        <v>61</v>
      </c>
      <c r="U7" s="6" t="s">
        <v>62</v>
      </c>
      <c r="V7" s="7" t="s">
        <v>63</v>
      </c>
      <c r="W7" s="3" t="s">
        <v>64</v>
      </c>
      <c r="X7" s="5" t="s">
        <v>65</v>
      </c>
      <c r="Y7" s="6" t="s">
        <v>66</v>
      </c>
      <c r="Z7" s="7" t="s">
        <v>67</v>
      </c>
      <c r="AA7" s="3" t="s">
        <v>68</v>
      </c>
      <c r="AB7" s="5" t="s">
        <v>69</v>
      </c>
      <c r="AC7" s="6" t="s">
        <v>70</v>
      </c>
      <c r="AD7" s="7" t="s">
        <v>71</v>
      </c>
      <c r="AE7" s="3" t="s">
        <v>72</v>
      </c>
      <c r="AF7" s="5" t="s">
        <v>73</v>
      </c>
      <c r="AG7" s="6" t="s">
        <v>74</v>
      </c>
      <c r="AH7" s="7" t="s">
        <v>75</v>
      </c>
      <c r="AI7" s="2" t="s">
        <v>76</v>
      </c>
      <c r="AJ7" s="2" t="s">
        <v>77</v>
      </c>
      <c r="AK7" s="2" t="s">
        <v>78</v>
      </c>
      <c r="AL7" s="2" t="s">
        <v>79</v>
      </c>
      <c r="AM7" s="3" t="s">
        <v>80</v>
      </c>
      <c r="AN7" s="5" t="s">
        <v>81</v>
      </c>
      <c r="AO7" s="6" t="s">
        <v>82</v>
      </c>
      <c r="AP7" s="7" t="s">
        <v>83</v>
      </c>
      <c r="AQ7" s="3" t="s">
        <v>84</v>
      </c>
      <c r="AR7" s="5" t="s">
        <v>85</v>
      </c>
      <c r="AS7" s="6" t="s">
        <v>86</v>
      </c>
      <c r="AT7" s="7" t="s">
        <v>87</v>
      </c>
      <c r="AU7" s="3" t="s">
        <v>88</v>
      </c>
      <c r="AV7" s="5" t="s">
        <v>89</v>
      </c>
      <c r="AW7" s="6" t="s">
        <v>90</v>
      </c>
      <c r="AX7" s="7" t="s">
        <v>91</v>
      </c>
      <c r="AY7" s="2" t="s">
        <v>92</v>
      </c>
      <c r="AZ7" s="2" t="s">
        <v>93</v>
      </c>
      <c r="BA7" s="2" t="s">
        <v>94</v>
      </c>
      <c r="BB7" s="2" t="s">
        <v>95</v>
      </c>
      <c r="BC7" s="3" t="s">
        <v>96</v>
      </c>
      <c r="BD7" s="5" t="s">
        <v>97</v>
      </c>
      <c r="BE7" s="6" t="s">
        <v>98</v>
      </c>
      <c r="BF7" s="7" t="s">
        <v>99</v>
      </c>
      <c r="BG7" s="3" t="s">
        <v>100</v>
      </c>
      <c r="BH7" s="5" t="s">
        <v>101</v>
      </c>
      <c r="BI7" s="6" t="s">
        <v>102</v>
      </c>
      <c r="BJ7" s="7" t="s">
        <v>103</v>
      </c>
      <c r="BK7" s="3" t="s">
        <v>104</v>
      </c>
      <c r="BL7" s="5" t="s">
        <v>105</v>
      </c>
      <c r="BM7" s="6" t="s">
        <v>106</v>
      </c>
      <c r="BN7" s="7" t="s">
        <v>107</v>
      </c>
      <c r="BO7" s="2" t="s">
        <v>108</v>
      </c>
      <c r="BP7" s="2" t="s">
        <v>109</v>
      </c>
      <c r="BQ7" s="2" t="s">
        <v>110</v>
      </c>
      <c r="BR7" s="2" t="s">
        <v>111</v>
      </c>
    </row>
    <row r="8" spans="1:70" ht="18.75" customHeight="1" x14ac:dyDescent="0.25">
      <c r="B8" s="8" t="s">
        <v>112</v>
      </c>
      <c r="C8" s="3" t="s">
        <v>112</v>
      </c>
      <c r="D8" s="3"/>
      <c r="E8" s="5" t="s">
        <v>113</v>
      </c>
      <c r="F8" s="5" t="s">
        <v>114</v>
      </c>
      <c r="G8" s="6" t="str">
        <f ca="1">IFERROR(__xludf.DUMMYFUNCTION("GOOGLETRANSLATE(B8,""ja"",""ko"")"),"블루 노리")</f>
        <v>블루 노리</v>
      </c>
      <c r="H8" s="9"/>
      <c r="I8" s="7" t="str">
        <f ca="1">IFERROR(__xludf.DUMMYFUNCTION("GOOGLETRANSLATE(B8,""ja"",""zh"")"),"撒上绿色海苔")</f>
        <v>撒上绿色海苔</v>
      </c>
      <c r="J8" s="7"/>
      <c r="K8" s="3" t="s">
        <v>112</v>
      </c>
      <c r="L8" s="3"/>
      <c r="M8" s="5" t="s">
        <v>113</v>
      </c>
      <c r="N8" s="5" t="s">
        <v>114</v>
      </c>
      <c r="O8" s="6" t="str">
        <f ca="1">IFERROR(__xludf.DUMMYFUNCTION("GOOGLETRANSLATE(B8,""ja"",""ko"")"),"블루 노리")</f>
        <v>블루 노리</v>
      </c>
      <c r="P8" s="9"/>
      <c r="Q8" s="7" t="str">
        <f ca="1">IFERROR(__xludf.DUMMYFUNCTION("GOOGLETRANSLATE(B8,""ja"",""zh"")"),"撒上绿色海苔")</f>
        <v>撒上绿色海苔</v>
      </c>
      <c r="R8" s="7"/>
      <c r="S8" s="3" t="s">
        <v>115</v>
      </c>
      <c r="T8" s="5" t="str">
        <f ca="1">IFERROR(__xludf.DUMMYFUNCTION("GOOGLETRANSLATE(S8,""ja"",""en"")"),"Blue color")</f>
        <v>Blue color</v>
      </c>
      <c r="U8" s="6" t="str">
        <f ca="1">IFERROR(__xludf.DUMMYFUNCTION("GOOGLETRANSLATE(S8,""ja"",""ko"")"),"파랑")</f>
        <v>파랑</v>
      </c>
      <c r="V8" s="7" t="str">
        <f ca="1">IFERROR(__xludf.DUMMYFUNCTION("GOOGLETRANSLATE(S8,""ja"",""zh"")"),"蓝色")</f>
        <v>蓝色</v>
      </c>
      <c r="W8" s="3"/>
      <c r="X8" s="5"/>
      <c r="Y8" s="6"/>
      <c r="Z8" s="7"/>
      <c r="AA8" s="3"/>
      <c r="AB8" s="5"/>
      <c r="AC8" s="6"/>
      <c r="AD8" s="7"/>
      <c r="AE8" s="3"/>
      <c r="AF8" s="5"/>
      <c r="AG8" s="6"/>
      <c r="AH8" s="7"/>
      <c r="AI8" s="2"/>
      <c r="AJ8" s="2"/>
      <c r="AK8" s="2"/>
      <c r="AL8" s="2"/>
      <c r="AM8" s="3"/>
      <c r="AN8" s="5"/>
      <c r="AO8" s="6"/>
      <c r="AP8" s="7"/>
      <c r="AQ8" s="3"/>
      <c r="AR8" s="5"/>
      <c r="AS8" s="6"/>
      <c r="AT8" s="7"/>
      <c r="AU8" s="3"/>
      <c r="AV8" s="5"/>
      <c r="AW8" s="6"/>
      <c r="AX8" s="7"/>
      <c r="AY8" s="2"/>
      <c r="AZ8" s="2"/>
      <c r="BA8" s="2"/>
      <c r="BB8" s="2"/>
      <c r="BC8" s="3"/>
      <c r="BD8" s="5"/>
      <c r="BE8" s="6"/>
      <c r="BF8" s="7"/>
      <c r="BG8" s="3"/>
      <c r="BH8" s="5"/>
      <c r="BI8" s="6"/>
      <c r="BJ8" s="7"/>
      <c r="BK8" s="3"/>
      <c r="BL8" s="5"/>
      <c r="BM8" s="6"/>
      <c r="BN8" s="7"/>
      <c r="BO8" s="2"/>
      <c r="BP8" s="2"/>
      <c r="BQ8" s="2"/>
      <c r="BR8" s="2"/>
    </row>
    <row r="9" spans="1:70" ht="18.75" customHeight="1" x14ac:dyDescent="0.25">
      <c r="B9" s="8" t="s">
        <v>116</v>
      </c>
      <c r="C9" s="3" t="s">
        <v>116</v>
      </c>
      <c r="D9" s="3"/>
      <c r="E9" s="5" t="s">
        <v>117</v>
      </c>
      <c r="F9" s="5" t="s">
        <v>118</v>
      </c>
      <c r="G9" s="6" t="str">
        <f ca="1">IFERROR(__xludf.DUMMYFUNCTION("GOOGLETRANSLATE(B9,""ja"",""ko"")"),"두꺼운")</f>
        <v>두꺼운</v>
      </c>
      <c r="H9" s="6"/>
      <c r="I9" s="7" t="str">
        <f ca="1">IFERROR(__xludf.DUMMYFUNCTION("GOOGLETRANSLATE(B9,""ja"",""zh"")"),"很厚的漏勺")</f>
        <v>很厚的漏勺</v>
      </c>
      <c r="J9" s="7"/>
      <c r="K9" s="3" t="s">
        <v>116</v>
      </c>
      <c r="L9" s="3"/>
      <c r="M9" s="5" t="s">
        <v>117</v>
      </c>
      <c r="N9" s="5" t="s">
        <v>118</v>
      </c>
      <c r="O9" s="6" t="str">
        <f ca="1">IFERROR(__xludf.DUMMYFUNCTION("GOOGLETRANSLATE(B9,""ja"",""ko"")"),"두꺼운")</f>
        <v>두꺼운</v>
      </c>
      <c r="P9" s="6"/>
      <c r="Q9" s="7" t="str">
        <f ca="1">IFERROR(__xludf.DUMMYFUNCTION("GOOGLETRANSLATE(B9,""ja"",""zh"")"),"很厚的漏勺")</f>
        <v>很厚的漏勺</v>
      </c>
      <c r="R9" s="7"/>
      <c r="S9" s="3" t="s">
        <v>119</v>
      </c>
      <c r="T9" s="5" t="str">
        <f ca="1">IFERROR(__xludf.DUMMYFUNCTION("GOOGLETRANSLATE(S9,""ja"",""en"")"),"Thick colander")</f>
        <v>Thick colander</v>
      </c>
      <c r="U9" s="6" t="str">
        <f ca="1">IFERROR(__xludf.DUMMYFUNCTION("GOOGLETRANSLATE(S9,""ja"",""ko"")"),"굵게")</f>
        <v>굵게</v>
      </c>
      <c r="V9" s="7" t="str">
        <f ca="1">IFERROR(__xludf.DUMMYFUNCTION("GOOGLETRANSLATE(S9,""ja"",""zh"")"),"厚漏勺")</f>
        <v>厚漏勺</v>
      </c>
      <c r="W9" s="3"/>
      <c r="X9" s="5"/>
      <c r="Y9" s="6"/>
      <c r="Z9" s="7"/>
      <c r="AA9" s="3"/>
      <c r="AB9" s="5"/>
      <c r="AC9" s="6"/>
      <c r="AD9" s="7"/>
      <c r="AE9" s="3"/>
      <c r="AF9" s="5"/>
      <c r="AG9" s="6"/>
      <c r="AH9" s="7"/>
      <c r="AI9" s="2"/>
      <c r="AJ9" s="2"/>
      <c r="AK9" s="2"/>
      <c r="AL9" s="2"/>
      <c r="AM9" s="3"/>
      <c r="AN9" s="5"/>
      <c r="AO9" s="6"/>
      <c r="AP9" s="7"/>
      <c r="AQ9" s="3"/>
      <c r="AR9" s="5"/>
      <c r="AS9" s="6"/>
      <c r="AT9" s="7"/>
      <c r="AU9" s="3"/>
      <c r="AV9" s="5"/>
      <c r="AW9" s="6"/>
      <c r="AX9" s="7"/>
      <c r="AY9" s="2"/>
      <c r="AZ9" s="2"/>
      <c r="BA9" s="2"/>
      <c r="BB9" s="2"/>
      <c r="BC9" s="3"/>
      <c r="BD9" s="5"/>
      <c r="BE9" s="6"/>
      <c r="BF9" s="7"/>
      <c r="BG9" s="3"/>
      <c r="BH9" s="5"/>
      <c r="BI9" s="6"/>
      <c r="BJ9" s="7"/>
      <c r="BK9" s="3"/>
      <c r="BL9" s="5"/>
      <c r="BM9" s="6"/>
      <c r="BN9" s="7"/>
      <c r="BO9" s="2"/>
      <c r="BP9" s="2"/>
      <c r="BQ9" s="2"/>
      <c r="BR9" s="2"/>
    </row>
    <row r="10" spans="1:70" ht="18.75" customHeight="1" x14ac:dyDescent="0.25">
      <c r="B10" s="8" t="s">
        <v>120</v>
      </c>
      <c r="C10" s="3" t="s">
        <v>120</v>
      </c>
      <c r="D10" s="3"/>
      <c r="E10" s="5" t="s">
        <v>121</v>
      </c>
      <c r="F10" s="5" t="s">
        <v>114</v>
      </c>
      <c r="G10" s="6" t="str">
        <f ca="1">IFERROR(__xludf.DUMMYFUNCTION("GOOGLETRANSLATE(B10,""ja"",""ko"")"),"블루 노리")</f>
        <v>블루 노리</v>
      </c>
      <c r="H10" s="6"/>
      <c r="I10" s="7" t="str">
        <f ca="1">IFERROR(__xludf.DUMMYFUNCTION("GOOGLETRANSLATE(B10,""ja"",""zh"")"),"青典漏勺")</f>
        <v>青典漏勺</v>
      </c>
      <c r="J10" s="7"/>
      <c r="K10" s="3" t="s">
        <v>120</v>
      </c>
      <c r="L10" s="3"/>
      <c r="M10" s="5" t="s">
        <v>121</v>
      </c>
      <c r="N10" s="5" t="s">
        <v>114</v>
      </c>
      <c r="O10" s="6" t="str">
        <f ca="1">IFERROR(__xludf.DUMMYFUNCTION("GOOGLETRANSLATE(B10,""ja"",""ko"")"),"블루 노리")</f>
        <v>블루 노리</v>
      </c>
      <c r="P10" s="6"/>
      <c r="Q10" s="7" t="str">
        <f ca="1">IFERROR(__xludf.DUMMYFUNCTION("GOOGLETRANSLATE(B10,""ja"",""zh"")"),"青典漏勺")</f>
        <v>青典漏勺</v>
      </c>
      <c r="R10" s="7"/>
      <c r="S10" s="3" t="s">
        <v>122</v>
      </c>
      <c r="T10" s="5" t="str">
        <f ca="1">IFERROR(__xludf.DUMMYFUNCTION("GOOGLETRANSLATE(S10,""ja"",""en"")"),"blue colander")</f>
        <v>blue colander</v>
      </c>
      <c r="U10" s="6" t="str">
        <f ca="1">IFERROR(__xludf.DUMMYFUNCTION("GOOGLETRANSLATE(S10,""ja"",""ko"")"),"푸른 자자")</f>
        <v>푸른 자자</v>
      </c>
      <c r="V10" s="7" t="str">
        <f ca="1">IFERROR(__xludf.DUMMYFUNCTION("GOOGLETRANSLATE(S10,""ja"",""zh"")"),"蓝色漏勺")</f>
        <v>蓝色漏勺</v>
      </c>
      <c r="W10" s="3"/>
      <c r="X10" s="5"/>
      <c r="Y10" s="6"/>
      <c r="Z10" s="7"/>
      <c r="AA10" s="3"/>
      <c r="AB10" s="5"/>
      <c r="AC10" s="6"/>
      <c r="AD10" s="7"/>
      <c r="AE10" s="3"/>
      <c r="AF10" s="5"/>
      <c r="AG10" s="6"/>
      <c r="AH10" s="7"/>
      <c r="AI10" s="2"/>
      <c r="AJ10" s="2"/>
      <c r="AK10" s="2"/>
      <c r="AL10" s="2"/>
      <c r="AM10" s="3"/>
      <c r="AN10" s="5"/>
      <c r="AO10" s="6"/>
      <c r="AP10" s="7"/>
      <c r="AQ10" s="3"/>
      <c r="AR10" s="5"/>
      <c r="AS10" s="6"/>
      <c r="AT10" s="7"/>
      <c r="AU10" s="3"/>
      <c r="AV10" s="5"/>
      <c r="AW10" s="6"/>
      <c r="AX10" s="7"/>
      <c r="AY10" s="2"/>
      <c r="AZ10" s="2"/>
      <c r="BA10" s="2"/>
      <c r="BB10" s="2"/>
      <c r="BC10" s="3"/>
      <c r="BD10" s="5"/>
      <c r="BE10" s="6"/>
      <c r="BF10" s="7"/>
      <c r="BG10" s="3"/>
      <c r="BH10" s="5"/>
      <c r="BI10" s="6"/>
      <c r="BJ10" s="7"/>
      <c r="BK10" s="3"/>
      <c r="BL10" s="5"/>
      <c r="BM10" s="6"/>
      <c r="BN10" s="7"/>
      <c r="BO10" s="2"/>
      <c r="BP10" s="2"/>
      <c r="BQ10" s="2"/>
      <c r="BR10" s="2"/>
    </row>
    <row r="11" spans="1:70" ht="18.75" customHeight="1" x14ac:dyDescent="0.25">
      <c r="B11" s="8" t="s">
        <v>123</v>
      </c>
      <c r="C11" s="3" t="s">
        <v>124</v>
      </c>
      <c r="D11" s="3" t="s">
        <v>125</v>
      </c>
      <c r="E11" s="5" t="s">
        <v>126</v>
      </c>
      <c r="F11" s="5" t="s">
        <v>118</v>
      </c>
      <c r="G11" s="6" t="str">
        <f ca="1">IFERROR(__xludf.DUMMYFUNCTION("GOOGLETRANSLATE(B11,""ja"",""ko"")"),"극단 타타미 키츠네")</f>
        <v>극단 타타미 키츠네</v>
      </c>
      <c r="H11" s="6"/>
      <c r="I11" s="7" t="str">
        <f ca="1">IFERROR(__xludf.DUMMYFUNCTION("GOOGLETRANSLATE(B11,""ja"",""zh"")"),"超厚榻榻米狐狸挂")</f>
        <v>超厚榻榻米狐狸挂</v>
      </c>
      <c r="J11" s="7"/>
      <c r="K11" s="3" t="s">
        <v>124</v>
      </c>
      <c r="L11" s="3" t="s">
        <v>125</v>
      </c>
      <c r="M11" s="5" t="s">
        <v>126</v>
      </c>
      <c r="N11" s="5" t="s">
        <v>118</v>
      </c>
      <c r="O11" s="6" t="str">
        <f ca="1">IFERROR(__xludf.DUMMYFUNCTION("GOOGLETRANSLATE(B11,""ja"",""ko"")"),"극단 타타미 키츠네")</f>
        <v>극단 타타미 키츠네</v>
      </c>
      <c r="P11" s="6"/>
      <c r="Q11" s="7" t="str">
        <f ca="1">IFERROR(__xludf.DUMMYFUNCTION("GOOGLETRANSLATE(B11,""ja"",""zh"")"),"超厚榻榻米狐狸挂")</f>
        <v>超厚榻榻米狐狸挂</v>
      </c>
      <c r="R11" s="7"/>
      <c r="S11" s="3" t="s">
        <v>127</v>
      </c>
      <c r="T11" s="5" t="str">
        <f ca="1">IFERROR(__xludf.DUMMYFUNCTION("GOOGLETRANSLATE(S11,""ja"",""en"")"),"Thick fox kake")</f>
        <v>Thick fox kake</v>
      </c>
      <c r="U11" s="6" t="str">
        <f ca="1">IFERROR(__xludf.DUMMYFUNCTION("GOOGLETRANSLATE(S11,""ja"",""ko"")"),"굵은 키츠네")</f>
        <v>굵은 키츠네</v>
      </c>
      <c r="V11" s="7" t="str">
        <f ca="1">IFERROR(__xludf.DUMMYFUNCTION("GOOGLETRANSLATE(S11,""ja"",""zh"")"),"厚狐狸卡克")</f>
        <v>厚狐狸卡克</v>
      </c>
      <c r="W11" s="3"/>
      <c r="X11" s="5"/>
      <c r="Y11" s="6"/>
      <c r="Z11" s="7"/>
      <c r="AA11" s="3"/>
      <c r="AB11" s="5"/>
      <c r="AC11" s="6"/>
      <c r="AD11" s="7"/>
      <c r="AE11" s="3"/>
      <c r="AF11" s="5"/>
      <c r="AG11" s="6"/>
      <c r="AH11" s="7"/>
      <c r="AI11" s="2"/>
      <c r="AJ11" s="2"/>
      <c r="AK11" s="2"/>
      <c r="AL11" s="2"/>
      <c r="AM11" s="3"/>
      <c r="AN11" s="5"/>
      <c r="AO11" s="6"/>
      <c r="AP11" s="7"/>
      <c r="AQ11" s="3"/>
      <c r="AR11" s="5"/>
      <c r="AS11" s="6"/>
      <c r="AT11" s="7"/>
      <c r="AU11" s="3"/>
      <c r="AV11" s="5"/>
      <c r="AW11" s="6"/>
      <c r="AX11" s="7"/>
      <c r="AY11" s="2"/>
      <c r="AZ11" s="2"/>
      <c r="BA11" s="2"/>
      <c r="BB11" s="2"/>
      <c r="BC11" s="3"/>
      <c r="BD11" s="5"/>
      <c r="BE11" s="6"/>
      <c r="BF11" s="7"/>
      <c r="BG11" s="3"/>
      <c r="BH11" s="5"/>
      <c r="BI11" s="6"/>
      <c r="BJ11" s="7"/>
      <c r="BK11" s="3"/>
      <c r="BL11" s="5"/>
      <c r="BM11" s="6"/>
      <c r="BN11" s="7"/>
      <c r="BO11" s="2"/>
      <c r="BP11" s="2"/>
      <c r="BQ11" s="2"/>
      <c r="BR11" s="2"/>
    </row>
    <row r="12" spans="1:70" ht="18.75" customHeight="1" x14ac:dyDescent="0.25">
      <c r="B12" s="8" t="s">
        <v>128</v>
      </c>
      <c r="C12" s="3" t="s">
        <v>129</v>
      </c>
      <c r="D12" s="3" t="s">
        <v>130</v>
      </c>
      <c r="E12" s="5" t="s">
        <v>131</v>
      </c>
      <c r="F12" s="5" t="s">
        <v>118</v>
      </c>
      <c r="G12" s="6" t="str">
        <f ca="1">IFERROR(__xludf.DUMMYFUNCTION("GOOGLETRANSLATE(B12,""ja"",""ko"")"),"블루 노리 타타 미키 츠네 카케")</f>
        <v>블루 노리 타타 미키 츠네 카케</v>
      </c>
      <c r="H12" s="6"/>
      <c r="I12" s="7" t="str">
        <f ca="1">IFERROR(__xludf.DUMMYFUNCTION("GOOGLETRANSLATE(B12,""ja"",""zh"")"),"青海紫菜榻榻米狐狸酱")</f>
        <v>青海紫菜榻榻米狐狸酱</v>
      </c>
      <c r="J12" s="7"/>
      <c r="K12" s="3" t="s">
        <v>129</v>
      </c>
      <c r="L12" s="3" t="s">
        <v>130</v>
      </c>
      <c r="M12" s="5" t="s">
        <v>131</v>
      </c>
      <c r="N12" s="5" t="s">
        <v>118</v>
      </c>
      <c r="O12" s="6" t="str">
        <f ca="1">IFERROR(__xludf.DUMMYFUNCTION("GOOGLETRANSLATE(B12,""ja"",""ko"")"),"블루 노리 타타 미키 츠네 카케")</f>
        <v>블루 노리 타타 미키 츠네 카케</v>
      </c>
      <c r="P12" s="6"/>
      <c r="Q12" s="7" t="str">
        <f ca="1">IFERROR(__xludf.DUMMYFUNCTION("GOOGLETRANSLATE(B12,""ja"",""zh"")"),"青海紫菜榻榻米狐狸酱")</f>
        <v>青海紫菜榻榻米狐狸酱</v>
      </c>
      <c r="R12" s="7"/>
      <c r="S12" s="3" t="s">
        <v>132</v>
      </c>
      <c r="T12" s="5" t="str">
        <f ca="1">IFERROR(__xludf.DUMMYFUNCTION("GOOGLETRANSLATE(S12,""ja"",""en"")"),"Blue fox kake")</f>
        <v>Blue fox kake</v>
      </c>
      <c r="U12" s="6" t="str">
        <f ca="1">IFERROR(__xludf.DUMMYFUNCTION("GOOGLETRANSLATE(S12,""ja"",""ko"")"),"블루 키츠네 카케")</f>
        <v>블루 키츠네 카케</v>
      </c>
      <c r="V12" s="7" t="str">
        <f ca="1">IFERROR(__xludf.DUMMYFUNCTION("GOOGLETRANSLATE(S12,""ja"",""zh"")"),"蓝狐卡克")</f>
        <v>蓝狐卡克</v>
      </c>
      <c r="W12" s="3"/>
      <c r="X12" s="5"/>
      <c r="Y12" s="6"/>
      <c r="Z12" s="7"/>
      <c r="AA12" s="3"/>
      <c r="AB12" s="5"/>
      <c r="AC12" s="6"/>
      <c r="AD12" s="7"/>
      <c r="AE12" s="3"/>
      <c r="AF12" s="5"/>
      <c r="AG12" s="6"/>
      <c r="AH12" s="7"/>
      <c r="AI12" s="2"/>
      <c r="AJ12" s="2"/>
      <c r="AK12" s="2"/>
      <c r="AL12" s="2"/>
      <c r="AM12" s="3"/>
      <c r="AN12" s="5"/>
      <c r="AO12" s="6"/>
      <c r="AP12" s="7"/>
      <c r="AQ12" s="3"/>
      <c r="AR12" s="5"/>
      <c r="AS12" s="6"/>
      <c r="AT12" s="7"/>
      <c r="AU12" s="3"/>
      <c r="AV12" s="5"/>
      <c r="AW12" s="6"/>
      <c r="AX12" s="7"/>
      <c r="AY12" s="2"/>
      <c r="AZ12" s="2"/>
      <c r="BA12" s="2"/>
      <c r="BB12" s="2"/>
      <c r="BC12" s="3"/>
      <c r="BD12" s="5"/>
      <c r="BE12" s="6"/>
      <c r="BF12" s="7"/>
      <c r="BG12" s="3"/>
      <c r="BH12" s="5"/>
      <c r="BI12" s="6"/>
      <c r="BJ12" s="7"/>
      <c r="BK12" s="3"/>
      <c r="BL12" s="5"/>
      <c r="BM12" s="6"/>
      <c r="BN12" s="7"/>
      <c r="BO12" s="2"/>
      <c r="BP12" s="2"/>
      <c r="BQ12" s="2"/>
      <c r="BR12" s="2"/>
    </row>
    <row r="13" spans="1:70" ht="18.75" customHeight="1" x14ac:dyDescent="0.25">
      <c r="B13" s="8" t="s">
        <v>133</v>
      </c>
      <c r="C13" s="3" t="s">
        <v>133</v>
      </c>
      <c r="D13" s="3"/>
      <c r="E13" s="5" t="s">
        <v>134</v>
      </c>
      <c r="F13" s="5" t="s">
        <v>135</v>
      </c>
      <c r="G13" s="6" t="str">
        <f ca="1">IFERROR(__xludf.DUMMYFUNCTION("GOOGLETRANSLATE(B13,""ja"",""ko"")"),"극단 새우 하늘")</f>
        <v>극단 새우 하늘</v>
      </c>
      <c r="H13" s="6"/>
      <c r="I13" s="7" t="str">
        <f ca="1">IFERROR(__xludf.DUMMYFUNCTION("GOOGLETRANSLATE(B13,""ja"",""zh"")"),"特厚虾天妇罗")</f>
        <v>特厚虾天妇罗</v>
      </c>
      <c r="J13" s="7"/>
      <c r="K13" s="3" t="s">
        <v>133</v>
      </c>
      <c r="L13" s="3"/>
      <c r="M13" s="5" t="s">
        <v>134</v>
      </c>
      <c r="N13" s="5" t="s">
        <v>135</v>
      </c>
      <c r="O13" s="6" t="str">
        <f ca="1">IFERROR(__xludf.DUMMYFUNCTION("GOOGLETRANSLATE(B13,""ja"",""ko"")"),"극단 새우 하늘")</f>
        <v>극단 새우 하늘</v>
      </c>
      <c r="P13" s="6"/>
      <c r="Q13" s="7" t="str">
        <f ca="1">IFERROR(__xludf.DUMMYFUNCTION("GOOGLETRANSLATE(B13,""ja"",""zh"")"),"特厚虾天妇罗")</f>
        <v>特厚虾天妇罗</v>
      </c>
      <c r="R13" s="7"/>
      <c r="S13" s="3" t="s">
        <v>136</v>
      </c>
      <c r="T13" s="5" t="str">
        <f ca="1">IFERROR(__xludf.DUMMYFUNCTION("GOOGLETRANSLATE(S13,""ja"",""en"")"),"Thick shrimp tempura")</f>
        <v>Thick shrimp tempura</v>
      </c>
      <c r="U13" s="6" t="str">
        <f ca="1">IFERROR(__xludf.DUMMYFUNCTION("GOOGLETRANSLATE(S13,""ja"",""ko"")"),"굵은 새우 하늘")</f>
        <v>굵은 새우 하늘</v>
      </c>
      <c r="V13" s="7" t="str">
        <f ca="1">IFERROR(__xludf.DUMMYFUNCTION("GOOGLETRANSLATE(S13,""ja"",""zh"")"),"厚厚的虾天妇罗")</f>
        <v>厚厚的虾天妇罗</v>
      </c>
      <c r="W13" s="3"/>
      <c r="X13" s="5"/>
      <c r="Y13" s="6"/>
      <c r="Z13" s="7"/>
      <c r="AA13" s="3"/>
      <c r="AB13" s="5"/>
      <c r="AC13" s="6"/>
      <c r="AD13" s="7"/>
      <c r="AE13" s="3"/>
      <c r="AF13" s="5"/>
      <c r="AG13" s="6"/>
      <c r="AH13" s="7"/>
      <c r="AI13" s="2"/>
      <c r="AJ13" s="2"/>
      <c r="AK13" s="2"/>
      <c r="AL13" s="2"/>
      <c r="AM13" s="3"/>
      <c r="AN13" s="5"/>
      <c r="AO13" s="6"/>
      <c r="AP13" s="7"/>
      <c r="AQ13" s="3"/>
      <c r="AR13" s="5"/>
      <c r="AS13" s="6"/>
      <c r="AT13" s="7"/>
      <c r="AU13" s="3"/>
      <c r="AV13" s="5"/>
      <c r="AW13" s="6"/>
      <c r="AX13" s="7"/>
      <c r="AY13" s="2"/>
      <c r="AZ13" s="2"/>
      <c r="BA13" s="2"/>
      <c r="BB13" s="2"/>
      <c r="BC13" s="3"/>
      <c r="BD13" s="5"/>
      <c r="BE13" s="6"/>
      <c r="BF13" s="7"/>
      <c r="BG13" s="3"/>
      <c r="BH13" s="5"/>
      <c r="BI13" s="6"/>
      <c r="BJ13" s="7"/>
      <c r="BK13" s="3"/>
      <c r="BL13" s="5"/>
      <c r="BM13" s="6"/>
      <c r="BN13" s="7"/>
      <c r="BO13" s="2"/>
      <c r="BP13" s="2"/>
      <c r="BQ13" s="2"/>
      <c r="BR13" s="2"/>
    </row>
    <row r="14" spans="1:70" ht="18.75" customHeight="1" x14ac:dyDescent="0.25">
      <c r="B14" s="8" t="s">
        <v>137</v>
      </c>
      <c r="C14" s="3" t="s">
        <v>137</v>
      </c>
      <c r="D14" s="3"/>
      <c r="E14" s="5" t="s">
        <v>138</v>
      </c>
      <c r="F14" s="5" t="s">
        <v>118</v>
      </c>
      <c r="G14" s="6" t="str">
        <f ca="1">IFERROR(__xludf.DUMMYFUNCTION("GOOGLETRANSLATE(B14,""ja"",""ko"")"),"푸른 노리 새우 하늘")</f>
        <v>푸른 노리 새우 하늘</v>
      </c>
      <c r="H14" s="6"/>
      <c r="I14" s="7" t="str">
        <f ca="1">IFERROR(__xludf.DUMMYFUNCTION("GOOGLETRANSLATE(B14,""ja"",""zh"")"),"绿海藻和虾天妇罗")</f>
        <v>绿海藻和虾天妇罗</v>
      </c>
      <c r="J14" s="7"/>
      <c r="K14" s="3" t="s">
        <v>137</v>
      </c>
      <c r="L14" s="3"/>
      <c r="M14" s="5" t="s">
        <v>138</v>
      </c>
      <c r="N14" s="5" t="s">
        <v>118</v>
      </c>
      <c r="O14" s="6" t="str">
        <f ca="1">IFERROR(__xludf.DUMMYFUNCTION("GOOGLETRANSLATE(B14,""ja"",""ko"")"),"푸른 노리 새우 하늘")</f>
        <v>푸른 노리 새우 하늘</v>
      </c>
      <c r="P14" s="6"/>
      <c r="Q14" s="7" t="str">
        <f ca="1">IFERROR(__xludf.DUMMYFUNCTION("GOOGLETRANSLATE(B14,""ja"",""zh"")"),"绿海藻和虾天妇罗")</f>
        <v>绿海藻和虾天妇罗</v>
      </c>
      <c r="R14" s="7"/>
      <c r="S14" s="3" t="s">
        <v>139</v>
      </c>
      <c r="T14" s="5" t="str">
        <f ca="1">IFERROR(__xludf.DUMMYFUNCTION("GOOGLETRANSLATE(S14,""ja"",""en"")"),"Blue shrimp tempura")</f>
        <v>Blue shrimp tempura</v>
      </c>
      <c r="U14" s="6" t="str">
        <f ca="1">IFERROR(__xludf.DUMMYFUNCTION("GOOGLETRANSLATE(S14,""ja"",""ko"")"),"푸른 새우 하늘")</f>
        <v>푸른 새우 하늘</v>
      </c>
      <c r="V14" s="7" t="str">
        <f ca="1">IFERROR(__xludf.DUMMYFUNCTION("GOOGLETRANSLATE(S14,""ja"",""zh"")"),"蓝虾天妇罗")</f>
        <v>蓝虾天妇罗</v>
      </c>
      <c r="W14" s="3"/>
      <c r="X14" s="5"/>
      <c r="Y14" s="6"/>
      <c r="Z14" s="7"/>
      <c r="AA14" s="3"/>
      <c r="AB14" s="5"/>
      <c r="AC14" s="6"/>
      <c r="AD14" s="7"/>
      <c r="AE14" s="3"/>
      <c r="AF14" s="5"/>
      <c r="AG14" s="6"/>
      <c r="AH14" s="7"/>
      <c r="AI14" s="2"/>
      <c r="AJ14" s="2"/>
      <c r="AK14" s="2"/>
      <c r="AL14" s="2"/>
      <c r="AM14" s="3"/>
      <c r="AN14" s="5"/>
      <c r="AO14" s="6"/>
      <c r="AP14" s="7"/>
      <c r="AQ14" s="3"/>
      <c r="AR14" s="5"/>
      <c r="AS14" s="6"/>
      <c r="AT14" s="7"/>
      <c r="AU14" s="3"/>
      <c r="AV14" s="5"/>
      <c r="AW14" s="6"/>
      <c r="AX14" s="7"/>
      <c r="AY14" s="2"/>
      <c r="AZ14" s="2"/>
      <c r="BA14" s="2"/>
      <c r="BB14" s="2"/>
      <c r="BC14" s="3"/>
      <c r="BD14" s="5"/>
      <c r="BE14" s="6"/>
      <c r="BF14" s="7"/>
      <c r="BG14" s="3"/>
      <c r="BH14" s="5"/>
      <c r="BI14" s="6"/>
      <c r="BJ14" s="7"/>
      <c r="BK14" s="3"/>
      <c r="BL14" s="5"/>
      <c r="BM14" s="6"/>
      <c r="BN14" s="7"/>
      <c r="BO14" s="2"/>
      <c r="BP14" s="2"/>
      <c r="BQ14" s="2"/>
      <c r="BR14" s="2"/>
    </row>
    <row r="15" spans="1:70" ht="18.75" customHeight="1" x14ac:dyDescent="0.25">
      <c r="B15" s="8" t="s">
        <v>140</v>
      </c>
      <c r="C15" s="3" t="s">
        <v>140</v>
      </c>
      <c r="D15" s="3"/>
      <c r="E15" s="5" t="s">
        <v>141</v>
      </c>
      <c r="F15" s="5" t="s">
        <v>142</v>
      </c>
      <c r="G15" s="6" t="str">
        <f ca="1">IFERROR(__xludf.DUMMYFUNCTION("GOOGLETRANSLATE(B15,""ja"",""ko"")"),"극단 코로케")</f>
        <v>극단 코로케</v>
      </c>
      <c r="H15" s="6"/>
      <c r="I15" s="7" t="str">
        <f ca="1">IFERROR(__xludf.DUMMYFUNCTION("GOOGLETRANSLATE(B15,""ja"",""zh"")"),"特厚炸丸子")</f>
        <v>特厚炸丸子</v>
      </c>
      <c r="J15" s="7"/>
      <c r="K15" s="3" t="s">
        <v>140</v>
      </c>
      <c r="L15" s="3"/>
      <c r="M15" s="5" t="s">
        <v>141</v>
      </c>
      <c r="N15" s="5" t="s">
        <v>142</v>
      </c>
      <c r="O15" s="6" t="str">
        <f ca="1">IFERROR(__xludf.DUMMYFUNCTION("GOOGLETRANSLATE(B15,""ja"",""ko"")"),"극단 코로케")</f>
        <v>극단 코로케</v>
      </c>
      <c r="P15" s="6"/>
      <c r="Q15" s="7" t="str">
        <f ca="1">IFERROR(__xludf.DUMMYFUNCTION("GOOGLETRANSLATE(B15,""ja"",""zh"")"),"特厚炸丸子")</f>
        <v>特厚炸丸子</v>
      </c>
      <c r="R15" s="7"/>
      <c r="S15" s="3" t="s">
        <v>143</v>
      </c>
      <c r="T15" s="5" t="str">
        <f ca="1">IFERROR(__xludf.DUMMYFUNCTION("GOOGLETRANSLATE(S15,""ja"",""en"")"),"Thick croquette")</f>
        <v>Thick croquette</v>
      </c>
      <c r="U15" s="6" t="str">
        <f ca="1">IFERROR(__xludf.DUMMYFUNCTION("GOOGLETRANSLATE(S15,""ja"",""ko"")"),"굵은 고로케")</f>
        <v>굵은 고로케</v>
      </c>
      <c r="V15" s="7" t="str">
        <f ca="1">IFERROR(__xludf.DUMMYFUNCTION("GOOGLETRANSLATE(S15,""ja"",""zh"")"),"厚炸肉饼")</f>
        <v>厚炸肉饼</v>
      </c>
      <c r="W15" s="3"/>
      <c r="X15" s="5"/>
      <c r="Y15" s="6"/>
      <c r="Z15" s="7"/>
      <c r="AA15" s="3"/>
      <c r="AB15" s="5"/>
      <c r="AC15" s="6"/>
      <c r="AD15" s="7"/>
      <c r="AE15" s="3"/>
      <c r="AF15" s="5"/>
      <c r="AG15" s="6"/>
      <c r="AH15" s="7"/>
      <c r="AI15" s="2"/>
      <c r="AJ15" s="2"/>
      <c r="AK15" s="2"/>
      <c r="AL15" s="2"/>
      <c r="AM15" s="3"/>
      <c r="AN15" s="5"/>
      <c r="AO15" s="6"/>
      <c r="AP15" s="7"/>
      <c r="AQ15" s="3"/>
      <c r="AR15" s="5"/>
      <c r="AS15" s="6"/>
      <c r="AT15" s="7"/>
      <c r="AU15" s="3"/>
      <c r="AV15" s="5"/>
      <c r="AW15" s="6"/>
      <c r="AX15" s="7"/>
      <c r="AY15" s="2"/>
      <c r="AZ15" s="2"/>
      <c r="BA15" s="2"/>
      <c r="BB15" s="2"/>
      <c r="BC15" s="3"/>
      <c r="BD15" s="5"/>
      <c r="BE15" s="6"/>
      <c r="BF15" s="7"/>
      <c r="BG15" s="3"/>
      <c r="BH15" s="5"/>
      <c r="BI15" s="6"/>
      <c r="BJ15" s="7"/>
      <c r="BK15" s="3"/>
      <c r="BL15" s="5"/>
      <c r="BM15" s="6"/>
      <c r="BN15" s="7"/>
      <c r="BO15" s="2"/>
      <c r="BP15" s="2"/>
      <c r="BQ15" s="2"/>
      <c r="BR15" s="2"/>
    </row>
    <row r="16" spans="1:70" ht="18.75" customHeight="1" x14ac:dyDescent="0.25">
      <c r="B16" s="8" t="s">
        <v>144</v>
      </c>
      <c r="C16" s="3" t="s">
        <v>145</v>
      </c>
      <c r="D16" s="3"/>
      <c r="E16" s="5" t="s">
        <v>146</v>
      </c>
      <c r="F16" s="5" t="s">
        <v>142</v>
      </c>
      <c r="G16" s="6" t="str">
        <f ca="1">IFERROR(__xludf.DUMMYFUNCTION("GOOGLETRANSLATE(B16,""ja"",""ko"")"),"블루 노리 코로케")</f>
        <v>블루 노리 코로케</v>
      </c>
      <c r="H16" s="6"/>
      <c r="I16" s="7" t="str">
        <f ca="1">IFERROR(__xludf.DUMMYFUNCTION("GOOGLETRANSLATE(B16,""ja"",""zh"")"),"青海海藻炸肉饼")</f>
        <v>青海海藻炸肉饼</v>
      </c>
      <c r="J16" s="7"/>
      <c r="K16" s="3" t="s">
        <v>145</v>
      </c>
      <c r="L16" s="3"/>
      <c r="M16" s="5" t="s">
        <v>146</v>
      </c>
      <c r="N16" s="5" t="s">
        <v>142</v>
      </c>
      <c r="O16" s="6" t="str">
        <f ca="1">IFERROR(__xludf.DUMMYFUNCTION("GOOGLETRANSLATE(B16,""ja"",""ko"")"),"블루 노리 코로케")</f>
        <v>블루 노리 코로케</v>
      </c>
      <c r="P16" s="6"/>
      <c r="Q16" s="7" t="str">
        <f ca="1">IFERROR(__xludf.DUMMYFUNCTION("GOOGLETRANSLATE(B16,""ja"",""zh"")"),"青海海藻炸肉饼")</f>
        <v>青海海藻炸肉饼</v>
      </c>
      <c r="R16" s="7"/>
      <c r="S16" s="3" t="s">
        <v>147</v>
      </c>
      <c r="T16" s="5" t="str">
        <f ca="1">IFERROR(__xludf.DUMMYFUNCTION("GOOGLETRANSLATE(S16,""ja"",""en"")"),"Blue croquette")</f>
        <v>Blue croquette</v>
      </c>
      <c r="U16" s="6" t="str">
        <f ca="1">IFERROR(__xludf.DUMMYFUNCTION("GOOGLETRANSLATE(S16,""ja"",""ko"")"),"푸른 고로케")</f>
        <v>푸른 고로케</v>
      </c>
      <c r="V16" s="7" t="str">
        <f ca="1">IFERROR(__xludf.DUMMYFUNCTION("GOOGLETRANSLATE(S16,""ja"",""zh"")"),"蓝色炸丸子")</f>
        <v>蓝色炸丸子</v>
      </c>
      <c r="W16" s="3"/>
      <c r="X16" s="5"/>
      <c r="Y16" s="6"/>
      <c r="Z16" s="7"/>
      <c r="AA16" s="3"/>
      <c r="AB16" s="5"/>
      <c r="AC16" s="6"/>
      <c r="AD16" s="7"/>
      <c r="AE16" s="3"/>
      <c r="AF16" s="5"/>
      <c r="AG16" s="6"/>
      <c r="AH16" s="7"/>
      <c r="AI16" s="2"/>
      <c r="AJ16" s="2"/>
      <c r="AK16" s="2"/>
      <c r="AL16" s="2"/>
      <c r="AM16" s="3"/>
      <c r="AN16" s="5"/>
      <c r="AO16" s="6"/>
      <c r="AP16" s="7"/>
      <c r="AQ16" s="3"/>
      <c r="AR16" s="5"/>
      <c r="AS16" s="6"/>
      <c r="AT16" s="7"/>
      <c r="AU16" s="3"/>
      <c r="AV16" s="5"/>
      <c r="AW16" s="6"/>
      <c r="AX16" s="7"/>
      <c r="AY16" s="2"/>
      <c r="AZ16" s="2"/>
      <c r="BA16" s="2"/>
      <c r="BB16" s="2"/>
      <c r="BC16" s="3"/>
      <c r="BD16" s="5"/>
      <c r="BE16" s="6"/>
      <c r="BF16" s="7"/>
      <c r="BG16" s="3"/>
      <c r="BH16" s="5"/>
      <c r="BI16" s="6"/>
      <c r="BJ16" s="7"/>
      <c r="BK16" s="3"/>
      <c r="BL16" s="5"/>
      <c r="BM16" s="6"/>
      <c r="BN16" s="7"/>
      <c r="BO16" s="2"/>
      <c r="BP16" s="2"/>
      <c r="BQ16" s="2"/>
      <c r="BR16" s="2"/>
    </row>
    <row r="17" spans="2:70" ht="18.75" customHeight="1" x14ac:dyDescent="0.25">
      <c r="B17" s="8" t="s">
        <v>148</v>
      </c>
      <c r="C17" s="3" t="s">
        <v>148</v>
      </c>
      <c r="D17" s="3"/>
      <c r="E17" s="5" t="s">
        <v>134</v>
      </c>
      <c r="F17" s="5" t="s">
        <v>149</v>
      </c>
      <c r="G17" s="6" t="str">
        <f ca="1">IFERROR(__xludf.DUMMYFUNCTION("GOOGLETRANSLATE(B17,""ja"",""ko"")"),"극단적 인 천국")</f>
        <v>극단적 인 천국</v>
      </c>
      <c r="H17" s="6"/>
      <c r="I17" s="7" t="str">
        <f ca="1">IFERROR(__xludf.DUMMYFUNCTION("GOOGLETRANSLATE(B17,""ja"",""zh"")"),"特厚鸡肉天妇罗")</f>
        <v>特厚鸡肉天妇罗</v>
      </c>
      <c r="J17" s="7"/>
      <c r="K17" s="3" t="s">
        <v>148</v>
      </c>
      <c r="L17" s="3"/>
      <c r="M17" s="5" t="s">
        <v>134</v>
      </c>
      <c r="N17" s="5" t="s">
        <v>149</v>
      </c>
      <c r="O17" s="6" t="str">
        <f ca="1">IFERROR(__xludf.DUMMYFUNCTION("GOOGLETRANSLATE(B17,""ja"",""ko"")"),"극단적 인 천국")</f>
        <v>극단적 인 천국</v>
      </c>
      <c r="P17" s="6"/>
      <c r="Q17" s="7" t="str">
        <f ca="1">IFERROR(__xludf.DUMMYFUNCTION("GOOGLETRANSLATE(B17,""ja"",""zh"")"),"特厚鸡肉天妇罗")</f>
        <v>特厚鸡肉天妇罗</v>
      </c>
      <c r="R17" s="7"/>
      <c r="S17" s="3" t="s">
        <v>150</v>
      </c>
      <c r="T17" s="5" t="str">
        <f ca="1">IFERROR(__xludf.DUMMYFUNCTION("GOOGLETRANSLATE(S17,""ja"",""en"")"),"Thick chicken tempura")</f>
        <v>Thick chicken tempura</v>
      </c>
      <c r="U17" s="6" t="str">
        <f ca="1">IFERROR(__xludf.DUMMYFUNCTION("GOOGLETRANSLATE(S17,""ja"",""ko"")"),"굵은 천천히")</f>
        <v>굵은 천천히</v>
      </c>
      <c r="V17" s="7" t="str">
        <f ca="1">IFERROR(__xludf.DUMMYFUNCTION("GOOGLETRANSLATE(S17,""ja"",""zh"")"),"厚鸡肉天妇罗")</f>
        <v>厚鸡肉天妇罗</v>
      </c>
      <c r="W17" s="3"/>
      <c r="X17" s="5"/>
      <c r="Y17" s="6"/>
      <c r="Z17" s="7"/>
      <c r="AA17" s="3"/>
      <c r="AB17" s="5"/>
      <c r="AC17" s="6"/>
      <c r="AD17" s="7"/>
      <c r="AE17" s="3"/>
      <c r="AF17" s="5"/>
      <c r="AG17" s="6"/>
      <c r="AH17" s="7"/>
      <c r="AI17" s="2"/>
      <c r="AJ17" s="2"/>
      <c r="AK17" s="2"/>
      <c r="AL17" s="2"/>
      <c r="AM17" s="3"/>
      <c r="AN17" s="5"/>
      <c r="AO17" s="6"/>
      <c r="AP17" s="7"/>
      <c r="AQ17" s="3"/>
      <c r="AR17" s="5"/>
      <c r="AS17" s="6"/>
      <c r="AT17" s="7"/>
      <c r="AU17" s="3"/>
      <c r="AV17" s="5"/>
      <c r="AW17" s="6"/>
      <c r="AX17" s="7"/>
      <c r="AY17" s="2"/>
      <c r="AZ17" s="2"/>
      <c r="BA17" s="2"/>
      <c r="BB17" s="2"/>
      <c r="BC17" s="3"/>
      <c r="BD17" s="5"/>
      <c r="BE17" s="6"/>
      <c r="BF17" s="7"/>
      <c r="BG17" s="3"/>
      <c r="BH17" s="5"/>
      <c r="BI17" s="6"/>
      <c r="BJ17" s="7"/>
      <c r="BK17" s="3"/>
      <c r="BL17" s="5"/>
      <c r="BM17" s="6"/>
      <c r="BN17" s="7"/>
      <c r="BO17" s="2"/>
      <c r="BP17" s="2"/>
      <c r="BQ17" s="2"/>
      <c r="BR17" s="2"/>
    </row>
    <row r="18" spans="2:70" ht="18.75" customHeight="1" x14ac:dyDescent="0.25">
      <c r="B18" s="8" t="s">
        <v>151</v>
      </c>
      <c r="C18" s="3" t="s">
        <v>151</v>
      </c>
      <c r="D18" s="3"/>
      <c r="E18" s="5" t="s">
        <v>146</v>
      </c>
      <c r="F18" s="5" t="s">
        <v>149</v>
      </c>
      <c r="G18" s="6" t="str">
        <f ca="1">IFERROR(__xludf.DUMMYFUNCTION("GOOGLETRANSLATE(B18,""ja"",""ko"")"),"푸른 노리 토리 텐 카케")</f>
        <v>푸른 노리 토리 텐 카케</v>
      </c>
      <c r="H18" s="6"/>
      <c r="I18" s="7" t="str">
        <f ca="1">IFERROR(__xludf.DUMMYFUNCTION("GOOGLETRANSLATE(B18,""ja"",""zh"")"),"绿色海藻配上鸡肉天妇罗")</f>
        <v>绿色海藻配上鸡肉天妇罗</v>
      </c>
      <c r="J18" s="7"/>
      <c r="K18" s="3" t="s">
        <v>151</v>
      </c>
      <c r="L18" s="3"/>
      <c r="M18" s="5" t="s">
        <v>146</v>
      </c>
      <c r="N18" s="5" t="s">
        <v>149</v>
      </c>
      <c r="O18" s="6" t="str">
        <f ca="1">IFERROR(__xludf.DUMMYFUNCTION("GOOGLETRANSLATE(B18,""ja"",""ko"")"),"푸른 노리 토리 텐 카케")</f>
        <v>푸른 노리 토리 텐 카케</v>
      </c>
      <c r="P18" s="6"/>
      <c r="Q18" s="7" t="str">
        <f ca="1">IFERROR(__xludf.DUMMYFUNCTION("GOOGLETRANSLATE(B18,""ja"",""zh"")"),"绿色海藻配上鸡肉天妇罗")</f>
        <v>绿色海藻配上鸡肉天妇罗</v>
      </c>
      <c r="R18" s="7"/>
      <c r="S18" s="3" t="s">
        <v>152</v>
      </c>
      <c r="T18" s="5" t="str">
        <f ca="1">IFERROR(__xludf.DUMMYFUNCTION("GOOGLETRANSLATE(S18,""ja"",""en"")"),"Blue chicken tempura")</f>
        <v>Blue chicken tempura</v>
      </c>
      <c r="U18" s="6" t="str">
        <f ca="1">IFERROR(__xludf.DUMMYFUNCTION("GOOGLETRANSLATE(S18,""ja"",""ko"")"),"푸른 색 하늘")</f>
        <v>푸른 색 하늘</v>
      </c>
      <c r="V18" s="7" t="str">
        <f ca="1">IFERROR(__xludf.DUMMYFUNCTION("GOOGLETRANSLATE(S18,""ja"",""zh"")"),"蓝鸡天妇罗")</f>
        <v>蓝鸡天妇罗</v>
      </c>
      <c r="W18" s="3"/>
      <c r="X18" s="5"/>
      <c r="Y18" s="6"/>
      <c r="Z18" s="7"/>
      <c r="AA18" s="3"/>
      <c r="AB18" s="5"/>
      <c r="AC18" s="6"/>
      <c r="AD18" s="7"/>
      <c r="AE18" s="3"/>
      <c r="AF18" s="5"/>
      <c r="AG18" s="6"/>
      <c r="AH18" s="7"/>
      <c r="AI18" s="2"/>
      <c r="AJ18" s="2"/>
      <c r="AK18" s="2"/>
      <c r="AL18" s="2"/>
      <c r="AM18" s="3"/>
      <c r="AN18" s="5"/>
      <c r="AO18" s="6"/>
      <c r="AP18" s="7"/>
      <c r="AQ18" s="3"/>
      <c r="AR18" s="5"/>
      <c r="AS18" s="6"/>
      <c r="AT18" s="7"/>
      <c r="AU18" s="3"/>
      <c r="AV18" s="5"/>
      <c r="AW18" s="6"/>
      <c r="AX18" s="7"/>
      <c r="AY18" s="2"/>
      <c r="AZ18" s="2"/>
      <c r="BA18" s="2"/>
      <c r="BB18" s="2"/>
      <c r="BC18" s="3"/>
      <c r="BD18" s="5"/>
      <c r="BE18" s="6"/>
      <c r="BF18" s="7"/>
      <c r="BG18" s="3"/>
      <c r="BH18" s="5"/>
      <c r="BI18" s="6"/>
      <c r="BJ18" s="7"/>
      <c r="BK18" s="3"/>
      <c r="BL18" s="5"/>
      <c r="BM18" s="6"/>
      <c r="BN18" s="7"/>
      <c r="BO18" s="2"/>
      <c r="BP18" s="2"/>
      <c r="BQ18" s="2"/>
      <c r="BR18" s="2"/>
    </row>
    <row r="19" spans="2:70" ht="18.75" customHeight="1" x14ac:dyDescent="0.25">
      <c r="B19" s="8" t="s">
        <v>153</v>
      </c>
      <c r="C19" s="3" t="s">
        <v>153</v>
      </c>
      <c r="D19" s="3"/>
      <c r="E19" s="5" t="s">
        <v>134</v>
      </c>
      <c r="F19" s="5" t="s">
        <v>154</v>
      </c>
      <c r="G19" s="6" t="str">
        <f ca="1">IFERROR(__xludf.DUMMYFUNCTION("GOOGLETRANSLATE(B19,""ja"",""ko"")"),"극단 타누키")</f>
        <v>극단 타누키</v>
      </c>
      <c r="H19" s="6"/>
      <c r="I19" s="7" t="str">
        <f ca="1">IFERROR(__xludf.DUMMYFUNCTION("GOOGLETRANSLATE(B19,""ja"",""zh"")"),"特厚浣熊饼")</f>
        <v>特厚浣熊饼</v>
      </c>
      <c r="J19" s="7"/>
      <c r="K19" s="3" t="s">
        <v>153</v>
      </c>
      <c r="L19" s="3"/>
      <c r="M19" s="5" t="s">
        <v>134</v>
      </c>
      <c r="N19" s="5" t="s">
        <v>154</v>
      </c>
      <c r="O19" s="6" t="str">
        <f ca="1">IFERROR(__xludf.DUMMYFUNCTION("GOOGLETRANSLATE(B19,""ja"",""ko"")"),"극단 타누키")</f>
        <v>극단 타누키</v>
      </c>
      <c r="P19" s="6"/>
      <c r="Q19" s="7" t="str">
        <f ca="1">IFERROR(__xludf.DUMMYFUNCTION("GOOGLETRANSLATE(B19,""ja"",""zh"")"),"特厚浣熊饼")</f>
        <v>特厚浣熊饼</v>
      </c>
      <c r="R19" s="7"/>
      <c r="S19" s="3" t="s">
        <v>155</v>
      </c>
      <c r="T19" s="5" t="str">
        <f ca="1">IFERROR(__xludf.DUMMYFUNCTION("GOOGLETRANSLATE(S19,""ja"",""en"")"),"Thick raccoon dog")</f>
        <v>Thick raccoon dog</v>
      </c>
      <c r="U19" s="6" t="str">
        <f ca="1">IFERROR(__xludf.DUMMYFUNCTION("GOOGLETRANSLATE(S19,""ja"",""ko"")"),"굵은 타누키")</f>
        <v>굵은 타누키</v>
      </c>
      <c r="V19" s="7" t="str">
        <f ca="1">IFERROR(__xludf.DUMMYFUNCTION("GOOGLETRANSLATE(S19,""ja"",""zh"")"),"粗貉")</f>
        <v>粗貉</v>
      </c>
      <c r="W19" s="3"/>
      <c r="X19" s="5"/>
      <c r="Y19" s="6"/>
      <c r="Z19" s="7"/>
      <c r="AA19" s="3"/>
      <c r="AB19" s="5"/>
      <c r="AC19" s="6"/>
      <c r="AD19" s="7"/>
      <c r="AE19" s="3"/>
      <c r="AF19" s="5"/>
      <c r="AG19" s="6"/>
      <c r="AH19" s="7"/>
      <c r="AI19" s="2"/>
      <c r="AJ19" s="2"/>
      <c r="AK19" s="2"/>
      <c r="AL19" s="2"/>
      <c r="AM19" s="3"/>
      <c r="AN19" s="5"/>
      <c r="AO19" s="6"/>
      <c r="AP19" s="7"/>
      <c r="AQ19" s="3"/>
      <c r="AR19" s="5"/>
      <c r="AS19" s="6"/>
      <c r="AT19" s="7"/>
      <c r="AU19" s="3"/>
      <c r="AV19" s="5"/>
      <c r="AW19" s="6"/>
      <c r="AX19" s="7"/>
      <c r="AY19" s="2"/>
      <c r="AZ19" s="2"/>
      <c r="BA19" s="2"/>
      <c r="BB19" s="2"/>
      <c r="BC19" s="3"/>
      <c r="BD19" s="5"/>
      <c r="BE19" s="6"/>
      <c r="BF19" s="7"/>
      <c r="BG19" s="3"/>
      <c r="BH19" s="5"/>
      <c r="BI19" s="6"/>
      <c r="BJ19" s="7"/>
      <c r="BK19" s="3"/>
      <c r="BL19" s="5"/>
      <c r="BM19" s="6"/>
      <c r="BN19" s="7"/>
      <c r="BO19" s="2"/>
      <c r="BP19" s="2"/>
      <c r="BQ19" s="2"/>
      <c r="BR19" s="2"/>
    </row>
    <row r="20" spans="2:70" ht="18.75" customHeight="1" x14ac:dyDescent="0.25">
      <c r="B20" s="8" t="s">
        <v>156</v>
      </c>
      <c r="C20" s="3" t="s">
        <v>156</v>
      </c>
      <c r="D20" s="3"/>
      <c r="E20" s="5" t="s">
        <v>157</v>
      </c>
      <c r="F20" s="5" t="s">
        <v>114</v>
      </c>
      <c r="G20" s="6" t="str">
        <f ca="1">IFERROR(__xludf.DUMMYFUNCTION("GOOGLETRANSLATE(B20,""ja"",""ko"")"),"블루 노리 타 누키 카케")</f>
        <v>블루 노리 타 누키 카케</v>
      </c>
      <c r="H20" s="6"/>
      <c r="I20" s="7" t="str">
        <f ca="1">IFERROR(__xludf.DUMMYFUNCTION("GOOGLETRANSLATE(B20,""ja"",""zh"")"),"青海苔配貉")</f>
        <v>青海苔配貉</v>
      </c>
      <c r="J20" s="7"/>
      <c r="K20" s="3" t="s">
        <v>156</v>
      </c>
      <c r="L20" s="3"/>
      <c r="M20" s="5" t="s">
        <v>157</v>
      </c>
      <c r="N20" s="5" t="s">
        <v>114</v>
      </c>
      <c r="O20" s="6" t="str">
        <f ca="1">IFERROR(__xludf.DUMMYFUNCTION("GOOGLETRANSLATE(B20,""ja"",""ko"")"),"블루 노리 타 누키 카케")</f>
        <v>블루 노리 타 누키 카케</v>
      </c>
      <c r="P20" s="6"/>
      <c r="Q20" s="7" t="str">
        <f ca="1">IFERROR(__xludf.DUMMYFUNCTION("GOOGLETRANSLATE(B20,""ja"",""zh"")"),"青海苔配貉")</f>
        <v>青海苔配貉</v>
      </c>
      <c r="R20" s="7"/>
      <c r="S20" s="3" t="s">
        <v>158</v>
      </c>
      <c r="T20" s="5" t="str">
        <f ca="1">IFERROR(__xludf.DUMMYFUNCTION("GOOGLETRANSLATE(S20,""ja"",""en"")"),"Blue raccoon plate")</f>
        <v>Blue raccoon plate</v>
      </c>
      <c r="U20" s="6" t="str">
        <f ca="1">IFERROR(__xludf.DUMMYFUNCTION("GOOGLETRANSLATE(S20,""ja"",""ko"")"),"푸른 타누키")</f>
        <v>푸른 타누키</v>
      </c>
      <c r="V20" s="7" t="str">
        <f ca="1">IFERROR(__xludf.DUMMYFUNCTION("GOOGLETRANSLATE(S20,""ja"",""zh"")"),"蓝色浣熊盘")</f>
        <v>蓝色浣熊盘</v>
      </c>
      <c r="W20" s="3"/>
      <c r="X20" s="5"/>
      <c r="Y20" s="6"/>
      <c r="Z20" s="7"/>
      <c r="AA20" s="3"/>
      <c r="AB20" s="5"/>
      <c r="AC20" s="6"/>
      <c r="AD20" s="7"/>
      <c r="AE20" s="3"/>
      <c r="AF20" s="5"/>
      <c r="AG20" s="6"/>
      <c r="AH20" s="7"/>
      <c r="AI20" s="2"/>
      <c r="AJ20" s="2"/>
      <c r="AK20" s="2"/>
      <c r="AL20" s="2"/>
      <c r="AM20" s="3"/>
      <c r="AN20" s="5"/>
      <c r="AO20" s="6"/>
      <c r="AP20" s="7"/>
      <c r="AQ20" s="3"/>
      <c r="AR20" s="5"/>
      <c r="AS20" s="6"/>
      <c r="AT20" s="7"/>
      <c r="AU20" s="3"/>
      <c r="AV20" s="5"/>
      <c r="AW20" s="6"/>
      <c r="AX20" s="7"/>
      <c r="AY20" s="2"/>
      <c r="AZ20" s="2"/>
      <c r="BA20" s="2"/>
      <c r="BB20" s="2"/>
      <c r="BC20" s="3"/>
      <c r="BD20" s="5"/>
      <c r="BE20" s="6"/>
      <c r="BF20" s="7"/>
      <c r="BG20" s="3"/>
      <c r="BH20" s="5"/>
      <c r="BI20" s="6"/>
      <c r="BJ20" s="7"/>
      <c r="BK20" s="3"/>
      <c r="BL20" s="5"/>
      <c r="BM20" s="6"/>
      <c r="BN20" s="7"/>
      <c r="BO20" s="2"/>
      <c r="BP20" s="2"/>
      <c r="BQ20" s="2"/>
      <c r="BR20" s="2"/>
    </row>
    <row r="21" spans="2:70" ht="18.75" customHeight="1" x14ac:dyDescent="0.25">
      <c r="B21" s="8" t="s">
        <v>159</v>
      </c>
      <c r="C21" s="3" t="s">
        <v>160</v>
      </c>
      <c r="D21" s="3" t="s">
        <v>125</v>
      </c>
      <c r="E21" s="5" t="s">
        <v>161</v>
      </c>
      <c r="F21" s="5" t="s">
        <v>162</v>
      </c>
      <c r="G21" s="6" t="str">
        <f ca="1">IFERROR(__xludf.DUMMYFUNCTION("GOOGLETRANSLATE(B21,""ja"",""ko"")"),"두꺼운 부드러운 쇠고기")</f>
        <v>두꺼운 부드러운 쇠고기</v>
      </c>
      <c r="H21" s="6"/>
      <c r="I21" s="7" t="str">
        <f ca="1">IFERROR(__xludf.DUMMYFUNCTION("GOOGLETRANSLATE(B21,""ja"",""zh"")"),"牛肉又厚又嫩")</f>
        <v>牛肉又厚又嫩</v>
      </c>
      <c r="J21" s="7"/>
      <c r="K21" s="3" t="s">
        <v>160</v>
      </c>
      <c r="L21" s="3" t="s">
        <v>125</v>
      </c>
      <c r="M21" s="5" t="s">
        <v>161</v>
      </c>
      <c r="N21" s="5" t="s">
        <v>162</v>
      </c>
      <c r="O21" s="6" t="str">
        <f ca="1">IFERROR(__xludf.DUMMYFUNCTION("GOOGLETRANSLATE(B21,""ja"",""ko"")"),"두꺼운 부드러운 쇠고기")</f>
        <v>두꺼운 부드러운 쇠고기</v>
      </c>
      <c r="P21" s="6"/>
      <c r="Q21" s="7" t="str">
        <f ca="1">IFERROR(__xludf.DUMMYFUNCTION("GOOGLETRANSLATE(B21,""ja"",""zh"")"),"牛肉又厚又嫩")</f>
        <v>牛肉又厚又嫩</v>
      </c>
      <c r="R21" s="7"/>
      <c r="S21" s="3" t="s">
        <v>163</v>
      </c>
      <c r="T21" s="5" t="str">
        <f ca="1">IFERROR(__xludf.DUMMYFUNCTION("GOOGLETRANSLATE(S21,""ja"",""en"")"),"Thick beef stew")</f>
        <v>Thick beef stew</v>
      </c>
      <c r="U21" s="6" t="str">
        <f ca="1">IFERROR(__xludf.DUMMYFUNCTION("GOOGLETRANSLATE(S21,""ja"",""ko"")"),"굵은 쇠고기")</f>
        <v>굵은 쇠고기</v>
      </c>
      <c r="V21" s="7" t="str">
        <f ca="1">IFERROR(__xludf.DUMMYFUNCTION("GOOGLETRANSLATE(S21,""ja"",""zh"")"),"浓浓的炖牛肉")</f>
        <v>浓浓的炖牛肉</v>
      </c>
      <c r="W21" s="3"/>
      <c r="X21" s="5"/>
      <c r="Y21" s="6"/>
      <c r="Z21" s="7"/>
      <c r="AA21" s="3"/>
      <c r="AB21" s="5"/>
      <c r="AC21" s="6"/>
      <c r="AD21" s="7"/>
      <c r="AE21" s="3"/>
      <c r="AF21" s="5"/>
      <c r="AG21" s="6"/>
      <c r="AH21" s="7"/>
      <c r="AI21" s="2"/>
      <c r="AJ21" s="2"/>
      <c r="AK21" s="2"/>
      <c r="AL21" s="2"/>
      <c r="AM21" s="3"/>
      <c r="AN21" s="5"/>
      <c r="AO21" s="6"/>
      <c r="AP21" s="7"/>
      <c r="AQ21" s="3"/>
      <c r="AR21" s="5"/>
      <c r="AS21" s="6"/>
      <c r="AT21" s="7"/>
      <c r="AU21" s="3"/>
      <c r="AV21" s="5"/>
      <c r="AW21" s="6"/>
      <c r="AX21" s="7"/>
      <c r="AY21" s="2"/>
      <c r="AZ21" s="2"/>
      <c r="BA21" s="2"/>
      <c r="BB21" s="2"/>
      <c r="BC21" s="3"/>
      <c r="BD21" s="5"/>
      <c r="BE21" s="6"/>
      <c r="BF21" s="7"/>
      <c r="BG21" s="3"/>
      <c r="BH21" s="5"/>
      <c r="BI21" s="6"/>
      <c r="BJ21" s="7"/>
      <c r="BK21" s="3"/>
      <c r="BL21" s="5"/>
      <c r="BM21" s="6"/>
      <c r="BN21" s="7"/>
      <c r="BO21" s="2"/>
      <c r="BP21" s="2"/>
      <c r="BQ21" s="2"/>
      <c r="BR21" s="2"/>
    </row>
    <row r="22" spans="2:70" ht="18.75" customHeight="1" x14ac:dyDescent="0.25">
      <c r="B22" s="8" t="s">
        <v>164</v>
      </c>
      <c r="C22" s="3" t="s">
        <v>165</v>
      </c>
      <c r="D22" s="3" t="s">
        <v>125</v>
      </c>
      <c r="E22" s="5" t="s">
        <v>166</v>
      </c>
      <c r="F22" s="5" t="s">
        <v>167</v>
      </c>
      <c r="G22" s="6" t="str">
        <f ca="1">IFERROR(__xludf.DUMMYFUNCTION("GOOGLETRANSLATE(B22,""ja"",""ko"")"),"블루 노리 부드러운 쇠고기")</f>
        <v>블루 노리 부드러운 쇠고기</v>
      </c>
      <c r="H22" s="6"/>
      <c r="I22" s="7" t="str">
        <f ca="1">IFERROR(__xludf.DUMMYFUNCTION("GOOGLETRANSLATE(B22,""ja"",""zh"")"),"青海苔嫩牛肉饼")</f>
        <v>青海苔嫩牛肉饼</v>
      </c>
      <c r="J22" s="7"/>
      <c r="K22" s="3" t="s">
        <v>165</v>
      </c>
      <c r="L22" s="3" t="s">
        <v>125</v>
      </c>
      <c r="M22" s="5" t="s">
        <v>166</v>
      </c>
      <c r="N22" s="5" t="s">
        <v>167</v>
      </c>
      <c r="O22" s="6" t="str">
        <f ca="1">IFERROR(__xludf.DUMMYFUNCTION("GOOGLETRANSLATE(B22,""ja"",""ko"")"),"블루 노리 부드러운 쇠고기")</f>
        <v>블루 노리 부드러운 쇠고기</v>
      </c>
      <c r="P22" s="6"/>
      <c r="Q22" s="7" t="str">
        <f ca="1">IFERROR(__xludf.DUMMYFUNCTION("GOOGLETRANSLATE(B22,""ja"",""zh"")"),"青海苔嫩牛肉饼")</f>
        <v>青海苔嫩牛肉饼</v>
      </c>
      <c r="R22" s="7"/>
      <c r="S22" s="3" t="s">
        <v>168</v>
      </c>
      <c r="T22" s="5" t="str">
        <f ca="1">IFERROR(__xludf.DUMMYFUNCTION("GOOGLETRANSLATE(S22,""ja"",""en"")"),"Blue Beef Kake")</f>
        <v>Blue Beef Kake</v>
      </c>
      <c r="U22" s="6" t="str">
        <f ca="1">IFERROR(__xludf.DUMMYFUNCTION("GOOGLETRANSLATE(S22,""ja"",""ko"")"),"푸른 쇠고기 걸레")</f>
        <v>푸른 쇠고기 걸레</v>
      </c>
      <c r="V22" s="7" t="str">
        <f ca="1">IFERROR(__xludf.DUMMYFUNCTION("GOOGLETRANSLATE(S22,""ja"",""zh"")"),"蓝牛肉拌饭")</f>
        <v>蓝牛肉拌饭</v>
      </c>
      <c r="W22" s="3"/>
      <c r="X22" s="5"/>
      <c r="Y22" s="6"/>
      <c r="Z22" s="7"/>
      <c r="AA22" s="3"/>
      <c r="AB22" s="5"/>
      <c r="AC22" s="6"/>
      <c r="AD22" s="7"/>
      <c r="AE22" s="3"/>
      <c r="AF22" s="5"/>
      <c r="AG22" s="6"/>
      <c r="AH22" s="7"/>
      <c r="AI22" s="2"/>
      <c r="AJ22" s="2"/>
      <c r="AK22" s="2"/>
      <c r="AL22" s="2"/>
      <c r="AM22" s="3"/>
      <c r="AN22" s="5"/>
      <c r="AO22" s="6"/>
      <c r="AP22" s="7"/>
      <c r="AQ22" s="3"/>
      <c r="AR22" s="5"/>
      <c r="AS22" s="6"/>
      <c r="AT22" s="7"/>
      <c r="AU22" s="3"/>
      <c r="AV22" s="5"/>
      <c r="AW22" s="6"/>
      <c r="AX22" s="7"/>
      <c r="AY22" s="2"/>
      <c r="AZ22" s="2"/>
      <c r="BA22" s="2"/>
      <c r="BB22" s="2"/>
      <c r="BC22" s="3"/>
      <c r="BD22" s="5"/>
      <c r="BE22" s="6"/>
      <c r="BF22" s="7"/>
      <c r="BG22" s="3"/>
      <c r="BH22" s="5"/>
      <c r="BI22" s="6"/>
      <c r="BJ22" s="7"/>
      <c r="BK22" s="3"/>
      <c r="BL22" s="5"/>
      <c r="BM22" s="6"/>
      <c r="BN22" s="7"/>
      <c r="BO22" s="2"/>
      <c r="BP22" s="2"/>
      <c r="BQ22" s="2"/>
      <c r="BR22" s="2"/>
    </row>
    <row r="23" spans="2:70" ht="18.75" customHeight="1" x14ac:dyDescent="0.25">
      <c r="B23" s="8" t="s">
        <v>169</v>
      </c>
      <c r="C23" s="3" t="s">
        <v>169</v>
      </c>
      <c r="D23" s="3"/>
      <c r="E23" s="5" t="s">
        <v>170</v>
      </c>
      <c r="F23" s="5"/>
      <c r="G23" s="6" t="str">
        <f ca="1">IFERROR(__xludf.DUMMYFUNCTION("GOOGLETRANSLATE(B23,""ja"",""ko"")"),"밥")</f>
        <v>밥</v>
      </c>
      <c r="H23" s="6"/>
      <c r="I23" s="7" t="str">
        <f ca="1">IFERROR(__xludf.DUMMYFUNCTION("GOOGLETRANSLATE(B23,""ja"",""zh"")"),"一顿饭")</f>
        <v>一顿饭</v>
      </c>
      <c r="J23" s="7"/>
      <c r="K23" s="3" t="s">
        <v>169</v>
      </c>
      <c r="L23" s="3"/>
      <c r="M23" s="5" t="s">
        <v>170</v>
      </c>
      <c r="N23" s="5"/>
      <c r="O23" s="6" t="str">
        <f ca="1">IFERROR(__xludf.DUMMYFUNCTION("GOOGLETRANSLATE(B23,""ja"",""ko"")"),"밥")</f>
        <v>밥</v>
      </c>
      <c r="P23" s="6"/>
      <c r="Q23" s="7" t="str">
        <f ca="1">IFERROR(__xludf.DUMMYFUNCTION("GOOGLETRANSLATE(B23,""ja"",""zh"")"),"一顿饭")</f>
        <v>一顿饭</v>
      </c>
      <c r="R23" s="7"/>
      <c r="S23" s="3" t="s">
        <v>169</v>
      </c>
      <c r="T23" s="5" t="str">
        <f ca="1">IFERROR(__xludf.DUMMYFUNCTION("GOOGLETRANSLATE(S23,""ja"",""en"")"),"Meal")</f>
        <v>Meal</v>
      </c>
      <c r="U23" s="6" t="str">
        <f ca="1">IFERROR(__xludf.DUMMYFUNCTION("GOOGLETRANSLATE(S23,""ja"",""ko"")"),"밥")</f>
        <v>밥</v>
      </c>
      <c r="V23" s="7" t="str">
        <f ca="1">IFERROR(__xludf.DUMMYFUNCTION("GOOGLETRANSLATE(S23,""ja"",""zh"")"),"一顿饭")</f>
        <v>一顿饭</v>
      </c>
      <c r="W23" s="3"/>
      <c r="X23" s="5"/>
      <c r="Y23" s="6"/>
      <c r="Z23" s="7"/>
      <c r="AA23" s="3"/>
      <c r="AB23" s="5"/>
      <c r="AC23" s="6"/>
      <c r="AD23" s="7"/>
      <c r="AE23" s="3"/>
      <c r="AF23" s="5"/>
      <c r="AG23" s="6"/>
      <c r="AH23" s="7"/>
      <c r="AI23" s="2"/>
      <c r="AJ23" s="2"/>
      <c r="AK23" s="2"/>
      <c r="AL23" s="2"/>
      <c r="AM23" s="3"/>
      <c r="AN23" s="5"/>
      <c r="AO23" s="6"/>
      <c r="AP23" s="7"/>
      <c r="AQ23" s="3"/>
      <c r="AR23" s="5"/>
      <c r="AS23" s="6"/>
      <c r="AT23" s="7"/>
      <c r="AU23" s="3"/>
      <c r="AV23" s="5"/>
      <c r="AW23" s="6"/>
      <c r="AX23" s="7"/>
      <c r="AY23" s="2"/>
      <c r="AZ23" s="2"/>
      <c r="BA23" s="2"/>
      <c r="BB23" s="2"/>
      <c r="BC23" s="3"/>
      <c r="BD23" s="5"/>
      <c r="BE23" s="6"/>
      <c r="BF23" s="7"/>
      <c r="BG23" s="3"/>
      <c r="BH23" s="5"/>
      <c r="BI23" s="6"/>
      <c r="BJ23" s="7"/>
      <c r="BK23" s="3"/>
      <c r="BL23" s="5"/>
      <c r="BM23" s="6"/>
      <c r="BN23" s="7"/>
      <c r="BO23" s="2"/>
      <c r="BP23" s="2"/>
      <c r="BQ23" s="2"/>
      <c r="BR23" s="2"/>
    </row>
    <row r="24" spans="2:70" ht="18.75" customHeight="1" x14ac:dyDescent="0.25">
      <c r="B24" s="8" t="s">
        <v>171</v>
      </c>
      <c r="C24" s="3" t="s">
        <v>172</v>
      </c>
      <c r="D24" s="3" t="s">
        <v>173</v>
      </c>
      <c r="E24" s="5" t="s">
        <v>174</v>
      </c>
      <c r="F24" s="5"/>
      <c r="G24" s="6" t="str">
        <f ca="1">IFERROR(__xludf.DUMMYFUNCTION("GOOGLETRANSLATE(B24,""ja"",""ko"")"),"미니 십이째 닭 밥")</f>
        <v>미니 십이째 닭 밥</v>
      </c>
      <c r="H24" s="6"/>
      <c r="I24" s="7" t="str">
        <f ca="1">IFERROR(__xludf.DUMMYFUNCTION("GOOGLETRANSLATE(B24,""ja"",""zh"")"),"迷你十二眼鸡饭")</f>
        <v>迷你十二眼鸡饭</v>
      </c>
      <c r="J24" s="7"/>
      <c r="K24" s="3" t="s">
        <v>171</v>
      </c>
      <c r="L24" s="3"/>
      <c r="M24" s="5" t="s">
        <v>174</v>
      </c>
      <c r="N24" s="5"/>
      <c r="O24" s="6" t="str">
        <f ca="1">IFERROR(__xludf.DUMMYFUNCTION("GOOGLETRANSLATE(B24,""ja"",""ko"")"),"미니 십이째 닭 밥")</f>
        <v>미니 십이째 닭 밥</v>
      </c>
      <c r="P24" s="6"/>
      <c r="Q24" s="7" t="str">
        <f ca="1">IFERROR(__xludf.DUMMYFUNCTION("GOOGLETRANSLATE(B24,""ja"",""zh"")"),"迷你十二眼鸡饭")</f>
        <v>迷你十二眼鸡饭</v>
      </c>
      <c r="R24" s="7"/>
      <c r="S24" s="3" t="s">
        <v>175</v>
      </c>
      <c r="T24" s="5" t="str">
        <f ca="1">IFERROR(__xludf.DUMMYFUNCTION("GOOGLETRANSLATE(S24,""ja"",""en"")"),"Mini twelve-eyed chicken rice")</f>
        <v>Mini twelve-eyed chicken rice</v>
      </c>
      <c r="U24" s="6" t="str">
        <f ca="1">IFERROR(__xludf.DUMMYFUNCTION("GOOGLETRANSLATE(S24,""ja"",""ko"")"),"미니 십이째 닭 밥")</f>
        <v>미니 십이째 닭 밥</v>
      </c>
      <c r="V24" s="7" t="str">
        <f ca="1">IFERROR(__xludf.DUMMYFUNCTION("GOOGLETRANSLATE(S24,""ja"",""zh"")"),"迷你十二眼鸡饭")</f>
        <v>迷你十二眼鸡饭</v>
      </c>
      <c r="W24" s="3"/>
      <c r="X24" s="5"/>
      <c r="Y24" s="6"/>
      <c r="Z24" s="7"/>
      <c r="AA24" s="3"/>
      <c r="AB24" s="5"/>
      <c r="AC24" s="6"/>
      <c r="AD24" s="7"/>
      <c r="AE24" s="3"/>
      <c r="AF24" s="5"/>
      <c r="AG24" s="6"/>
      <c r="AH24" s="7"/>
      <c r="AI24" s="2"/>
      <c r="AJ24" s="2"/>
      <c r="AK24" s="2"/>
      <c r="AL24" s="2"/>
      <c r="AM24" s="3"/>
      <c r="AN24" s="5"/>
      <c r="AO24" s="6"/>
      <c r="AP24" s="7"/>
      <c r="AQ24" s="3"/>
      <c r="AR24" s="5"/>
      <c r="AS24" s="6"/>
      <c r="AT24" s="7"/>
      <c r="AU24" s="3"/>
      <c r="AV24" s="5"/>
      <c r="AW24" s="6"/>
      <c r="AX24" s="7"/>
      <c r="AY24" s="2"/>
      <c r="AZ24" s="2"/>
      <c r="BA24" s="2"/>
      <c r="BB24" s="2"/>
      <c r="BC24" s="3"/>
      <c r="BD24" s="5"/>
      <c r="BE24" s="6"/>
      <c r="BF24" s="7"/>
      <c r="BG24" s="3"/>
      <c r="BH24" s="5"/>
      <c r="BI24" s="6"/>
      <c r="BJ24" s="7"/>
      <c r="BK24" s="3"/>
      <c r="BL24" s="5"/>
      <c r="BM24" s="6"/>
      <c r="BN24" s="7"/>
      <c r="BO24" s="2"/>
      <c r="BP24" s="2"/>
      <c r="BQ24" s="2"/>
      <c r="BR24" s="2"/>
    </row>
    <row r="25" spans="2:70" ht="18.75" customHeight="1" x14ac:dyDescent="0.25">
      <c r="B25" s="8" t="s">
        <v>176</v>
      </c>
      <c r="C25" s="3" t="s">
        <v>176</v>
      </c>
      <c r="D25" s="3"/>
      <c r="E25" s="5" t="s">
        <v>177</v>
      </c>
      <c r="F25" s="5" t="s">
        <v>178</v>
      </c>
      <c r="G25" s="6" t="str">
        <f ca="1">IFERROR(__xludf.DUMMYFUNCTION("GOOGLETRANSLATE(B25,""ja"",""ko"")"),"쫓아")</f>
        <v>쫓아</v>
      </c>
      <c r="H25" s="6"/>
      <c r="I25" s="7" t="str">
        <f ca="1">IFERROR(__xludf.DUMMYFUNCTION("GOOGLETRANSLATE(B25,""ja"",""zh"")"),"奥天化")</f>
        <v>奥天化</v>
      </c>
      <c r="J25" s="7"/>
      <c r="K25" s="3" t="s">
        <v>176</v>
      </c>
      <c r="L25" s="3"/>
      <c r="M25" s="5" t="s">
        <v>177</v>
      </c>
      <c r="N25" s="5" t="s">
        <v>178</v>
      </c>
      <c r="O25" s="6" t="str">
        <f ca="1">IFERROR(__xludf.DUMMYFUNCTION("GOOGLETRANSLATE(B25,""ja"",""ko"")"),"쫓아")</f>
        <v>쫓아</v>
      </c>
      <c r="P25" s="6"/>
      <c r="Q25" s="7" t="str">
        <f ca="1">IFERROR(__xludf.DUMMYFUNCTION("GOOGLETRANSLATE(B25,""ja"",""zh"")"),"奥天化")</f>
        <v>奥天化</v>
      </c>
      <c r="R25" s="7"/>
      <c r="S25" s="3" t="s">
        <v>179</v>
      </c>
      <c r="T25" s="5" t="str">
        <f ca="1">IFERROR(__xludf.DUMMYFUNCTION("GOOGLETRANSLATE(S25,""ja"",""en"")"),"Single item Oitenkasu")</f>
        <v>Single item Oitenkasu</v>
      </c>
      <c r="U25" s="6" t="str">
        <f ca="1">IFERROR(__xludf.DUMMYFUNCTION("GOOGLETRANSLATE(S25,""ja"",""ko"")"),"단품 쫓아 천천히")</f>
        <v>단품 쫓아 천천히</v>
      </c>
      <c r="V25" s="7" t="str">
        <f ca="1">IFERROR(__xludf.DUMMYFUNCTION("GOOGLETRANSLATE(S25,""ja"",""zh"")"),"单品 Oitenkasu")</f>
        <v>单品 Oitenkasu</v>
      </c>
      <c r="W25" s="3"/>
      <c r="X25" s="5"/>
      <c r="Y25" s="6"/>
      <c r="Z25" s="7"/>
      <c r="AA25" s="3"/>
      <c r="AB25" s="5"/>
      <c r="AC25" s="6"/>
      <c r="AD25" s="7"/>
      <c r="AE25" s="3"/>
      <c r="AF25" s="5"/>
      <c r="AG25" s="6"/>
      <c r="AH25" s="7"/>
      <c r="AI25" s="2"/>
      <c r="AJ25" s="2"/>
      <c r="AK25" s="2"/>
      <c r="AL25" s="2"/>
      <c r="AM25" s="3"/>
      <c r="AN25" s="5"/>
      <c r="AO25" s="6"/>
      <c r="AP25" s="7"/>
      <c r="AQ25" s="3"/>
      <c r="AR25" s="5"/>
      <c r="AS25" s="6"/>
      <c r="AT25" s="7"/>
      <c r="AU25" s="3"/>
      <c r="AV25" s="5"/>
      <c r="AW25" s="6"/>
      <c r="AX25" s="7"/>
      <c r="AY25" s="2"/>
      <c r="AZ25" s="2"/>
      <c r="BA25" s="2"/>
      <c r="BB25" s="2"/>
      <c r="BC25" s="3"/>
      <c r="BD25" s="5"/>
      <c r="BE25" s="6"/>
      <c r="BF25" s="7"/>
      <c r="BG25" s="3"/>
      <c r="BH25" s="5"/>
      <c r="BI25" s="6"/>
      <c r="BJ25" s="7"/>
      <c r="BK25" s="3"/>
      <c r="BL25" s="5"/>
      <c r="BM25" s="6"/>
      <c r="BN25" s="7"/>
      <c r="BO25" s="2"/>
      <c r="BP25" s="2"/>
      <c r="BQ25" s="2"/>
      <c r="BR25" s="2"/>
    </row>
    <row r="26" spans="2:70" ht="18.75" customHeight="1" x14ac:dyDescent="0.25">
      <c r="B26" s="8" t="s">
        <v>180</v>
      </c>
      <c r="C26" s="3" t="s">
        <v>180</v>
      </c>
      <c r="D26" s="3"/>
      <c r="E26" s="5" t="s">
        <v>181</v>
      </c>
      <c r="F26" s="5"/>
      <c r="G26" s="6" t="str">
        <f ca="1">IFERROR(__xludf.DUMMYFUNCTION("GOOGLETRANSLATE(B26,""ja"",""ko"")"),"토리텐")</f>
        <v>토리텐</v>
      </c>
      <c r="H26" s="6"/>
      <c r="I26" s="7" t="str">
        <f ca="1">IFERROR(__xludf.DUMMYFUNCTION("GOOGLETRANSLATE(B26,""ja"",""zh"")"),"鸟天")</f>
        <v>鸟天</v>
      </c>
      <c r="J26" s="7"/>
      <c r="K26" s="3" t="s">
        <v>180</v>
      </c>
      <c r="L26" s="3"/>
      <c r="M26" s="5" t="s">
        <v>181</v>
      </c>
      <c r="N26" s="5"/>
      <c r="O26" s="6" t="str">
        <f ca="1">IFERROR(__xludf.DUMMYFUNCTION("GOOGLETRANSLATE(B26,""ja"",""ko"")"),"토리텐")</f>
        <v>토리텐</v>
      </c>
      <c r="P26" s="6"/>
      <c r="Q26" s="7" t="str">
        <f ca="1">IFERROR(__xludf.DUMMYFUNCTION("GOOGLETRANSLATE(B26,""ja"",""zh"")"),"鸟天")</f>
        <v>鸟天</v>
      </c>
      <c r="R26" s="7"/>
      <c r="S26" s="3" t="s">
        <v>182</v>
      </c>
      <c r="T26" s="5" t="str">
        <f ca="1">IFERROR(__xludf.DUMMYFUNCTION("GOOGLETRANSLATE(S26,""ja"",""en"")"),"Single item chicken tempura")</f>
        <v>Single item chicken tempura</v>
      </c>
      <c r="U26" s="6" t="str">
        <f ca="1">IFERROR(__xludf.DUMMYFUNCTION("GOOGLETRANSLATE(S26,""ja"",""ko"")"),"단품 토리 천")</f>
        <v>단품 토리 천</v>
      </c>
      <c r="V26" s="7" t="str">
        <f ca="1">IFERROR(__xludf.DUMMYFUNCTION("GOOGLETRANSLATE(S26,""ja"",""zh"")"),"单品鸡肉天妇罗")</f>
        <v>单品鸡肉天妇罗</v>
      </c>
      <c r="W26" s="3"/>
      <c r="X26" s="5"/>
      <c r="Y26" s="6"/>
      <c r="Z26" s="7"/>
      <c r="AA26" s="3"/>
      <c r="AB26" s="5"/>
      <c r="AC26" s="6"/>
      <c r="AD26" s="7"/>
      <c r="AE26" s="3"/>
      <c r="AF26" s="5"/>
      <c r="AG26" s="6"/>
      <c r="AH26" s="7"/>
      <c r="AI26" s="2"/>
      <c r="AJ26" s="2"/>
      <c r="AK26" s="2"/>
      <c r="AL26" s="2"/>
      <c r="AM26" s="3"/>
      <c r="AN26" s="5"/>
      <c r="AO26" s="6"/>
      <c r="AP26" s="7"/>
      <c r="AQ26" s="3"/>
      <c r="AR26" s="5"/>
      <c r="AS26" s="6"/>
      <c r="AT26" s="7"/>
      <c r="AU26" s="3"/>
      <c r="AV26" s="5"/>
      <c r="AW26" s="6"/>
      <c r="AX26" s="7"/>
      <c r="AY26" s="2"/>
      <c r="AZ26" s="2"/>
      <c r="BA26" s="2"/>
      <c r="BB26" s="2"/>
      <c r="BC26" s="3"/>
      <c r="BD26" s="5"/>
      <c r="BE26" s="6"/>
      <c r="BF26" s="7"/>
      <c r="BG26" s="3"/>
      <c r="BH26" s="5"/>
      <c r="BI26" s="6"/>
      <c r="BJ26" s="7"/>
      <c r="BK26" s="3"/>
      <c r="BL26" s="5"/>
      <c r="BM26" s="6"/>
      <c r="BN26" s="7"/>
      <c r="BO26" s="2"/>
      <c r="BP26" s="2"/>
      <c r="BQ26" s="2"/>
      <c r="BR26" s="2"/>
    </row>
    <row r="27" spans="2:70" ht="18.75" customHeight="1" x14ac:dyDescent="0.25">
      <c r="B27" s="8" t="s">
        <v>183</v>
      </c>
      <c r="C27" s="3" t="s">
        <v>183</v>
      </c>
      <c r="D27" s="3"/>
      <c r="E27" s="5" t="s">
        <v>184</v>
      </c>
      <c r="F27" s="5"/>
      <c r="G27" s="6" t="str">
        <f ca="1">IFERROR(__xludf.DUMMYFUNCTION("GOOGLETRANSLATE(B27,""ja"",""ko"")"),"타타미키츠네")</f>
        <v>타타미키츠네</v>
      </c>
      <c r="H27" s="6"/>
      <c r="I27" s="7" t="str">
        <f ca="1">IFERROR(__xludf.DUMMYFUNCTION("GOOGLETRANSLATE(B27,""ja"",""zh"")"),"榻榻米狐狸")</f>
        <v>榻榻米狐狸</v>
      </c>
      <c r="J27" s="7"/>
      <c r="K27" s="3" t="s">
        <v>183</v>
      </c>
      <c r="L27" s="3"/>
      <c r="M27" s="5" t="s">
        <v>184</v>
      </c>
      <c r="N27" s="5"/>
      <c r="O27" s="6" t="str">
        <f ca="1">IFERROR(__xludf.DUMMYFUNCTION("GOOGLETRANSLATE(B27,""ja"",""ko"")"),"타타미키츠네")</f>
        <v>타타미키츠네</v>
      </c>
      <c r="P27" s="6"/>
      <c r="Q27" s="7" t="str">
        <f ca="1">IFERROR(__xludf.DUMMYFUNCTION("GOOGLETRANSLATE(B27,""ja"",""zh"")"),"榻榻米狐狸")</f>
        <v>榻榻米狐狸</v>
      </c>
      <c r="R27" s="7"/>
      <c r="S27" s="3" t="s">
        <v>185</v>
      </c>
      <c r="T27" s="5" t="str">
        <f ca="1">IFERROR(__xludf.DUMMYFUNCTION("GOOGLETRANSLATE(S27,""ja"",""en"")"),"Single item fox")</f>
        <v>Single item fox</v>
      </c>
      <c r="U27" s="6" t="str">
        <f ca="1">IFERROR(__xludf.DUMMYFUNCTION("GOOGLETRANSLATE(S27,""ja"",""ko"")"),"단품")</f>
        <v>단품</v>
      </c>
      <c r="V27" s="7" t="str">
        <f ca="1">IFERROR(__xludf.DUMMYFUNCTION("GOOGLETRANSLATE(S27,""ja"",""zh"")"),"单品狐狸")</f>
        <v>单品狐狸</v>
      </c>
      <c r="W27" s="3"/>
      <c r="X27" s="5"/>
      <c r="Y27" s="6"/>
      <c r="Z27" s="7"/>
      <c r="AA27" s="3"/>
      <c r="AB27" s="5"/>
      <c r="AC27" s="6"/>
      <c r="AD27" s="7"/>
      <c r="AE27" s="3"/>
      <c r="AF27" s="5"/>
      <c r="AG27" s="6"/>
      <c r="AH27" s="7"/>
      <c r="AI27" s="2"/>
      <c r="AJ27" s="2"/>
      <c r="AK27" s="2"/>
      <c r="AL27" s="2"/>
      <c r="AM27" s="3"/>
      <c r="AN27" s="5"/>
      <c r="AO27" s="6"/>
      <c r="AP27" s="7"/>
      <c r="AQ27" s="3"/>
      <c r="AR27" s="5"/>
      <c r="AS27" s="6"/>
      <c r="AT27" s="7"/>
      <c r="AU27" s="3"/>
      <c r="AV27" s="5"/>
      <c r="AW27" s="6"/>
      <c r="AX27" s="7"/>
      <c r="AY27" s="2"/>
      <c r="AZ27" s="2"/>
      <c r="BA27" s="2"/>
      <c r="BB27" s="2"/>
      <c r="BC27" s="3"/>
      <c r="BD27" s="5"/>
      <c r="BE27" s="6"/>
      <c r="BF27" s="7"/>
      <c r="BG27" s="3"/>
      <c r="BH27" s="5"/>
      <c r="BI27" s="6"/>
      <c r="BJ27" s="7"/>
      <c r="BK27" s="3"/>
      <c r="BL27" s="5"/>
      <c r="BM27" s="6"/>
      <c r="BN27" s="7"/>
      <c r="BO27" s="2"/>
      <c r="BP27" s="2"/>
      <c r="BQ27" s="2"/>
      <c r="BR27" s="2"/>
    </row>
    <row r="28" spans="2:70" ht="18.75" customHeight="1" x14ac:dyDescent="0.25">
      <c r="B28" s="8" t="s">
        <v>186</v>
      </c>
      <c r="C28" s="3" t="s">
        <v>187</v>
      </c>
      <c r="D28" s="3"/>
      <c r="E28" s="5" t="s">
        <v>188</v>
      </c>
      <c r="F28" s="5"/>
      <c r="G28" s="6" t="str">
        <f ca="1">IFERROR(__xludf.DUMMYFUNCTION("GOOGLETRANSLATE(B28,""ja"",""ko"")"),"새우 하늘")</f>
        <v>새우 하늘</v>
      </c>
      <c r="H28" s="6"/>
      <c r="I28" s="7" t="str">
        <f ca="1">IFERROR(__xludf.DUMMYFUNCTION("GOOGLETRANSLATE(B28,""ja"",""zh"")"),"虾天妇罗")</f>
        <v>虾天妇罗</v>
      </c>
      <c r="J28" s="7"/>
      <c r="K28" s="3" t="s">
        <v>187</v>
      </c>
      <c r="L28" s="3"/>
      <c r="M28" s="5" t="s">
        <v>188</v>
      </c>
      <c r="N28" s="5"/>
      <c r="O28" s="6" t="str">
        <f ca="1">IFERROR(__xludf.DUMMYFUNCTION("GOOGLETRANSLATE(B28,""ja"",""ko"")"),"새우 하늘")</f>
        <v>새우 하늘</v>
      </c>
      <c r="P28" s="6"/>
      <c r="Q28" s="7" t="str">
        <f ca="1">IFERROR(__xludf.DUMMYFUNCTION("GOOGLETRANSLATE(B28,""ja"",""zh"")"),"虾天妇罗")</f>
        <v>虾天妇罗</v>
      </c>
      <c r="R28" s="7"/>
      <c r="S28" s="3" t="s">
        <v>189</v>
      </c>
      <c r="T28" s="5" t="str">
        <f ca="1">IFERROR(__xludf.DUMMYFUNCTION("GOOGLETRANSLATE(S28,""ja"",""en"")"),"Single item shrimp tempura")</f>
        <v>Single item shrimp tempura</v>
      </c>
      <c r="U28" s="6" t="str">
        <f ca="1">IFERROR(__xludf.DUMMYFUNCTION("GOOGLETRANSLATE(S28,""ja"",""ko"")"),"단품 에비텐")</f>
        <v>단품 에비텐</v>
      </c>
      <c r="V28" s="7" t="str">
        <f ca="1">IFERROR(__xludf.DUMMYFUNCTION("GOOGLETRANSLATE(S28,""ja"",""zh"")"),"单品虾天妇罗")</f>
        <v>单品虾天妇罗</v>
      </c>
      <c r="W28" s="3"/>
      <c r="X28" s="5"/>
      <c r="Y28" s="6"/>
      <c r="Z28" s="7"/>
      <c r="AA28" s="3"/>
      <c r="AB28" s="5"/>
      <c r="AC28" s="6"/>
      <c r="AD28" s="7"/>
      <c r="AE28" s="3"/>
      <c r="AF28" s="5"/>
      <c r="AG28" s="6"/>
      <c r="AH28" s="7"/>
      <c r="AI28" s="2"/>
      <c r="AJ28" s="2"/>
      <c r="AK28" s="2"/>
      <c r="AL28" s="2"/>
      <c r="AM28" s="3"/>
      <c r="AN28" s="5"/>
      <c r="AO28" s="6"/>
      <c r="AP28" s="7"/>
      <c r="AQ28" s="3"/>
      <c r="AR28" s="5"/>
      <c r="AS28" s="6"/>
      <c r="AT28" s="7"/>
      <c r="AU28" s="3"/>
      <c r="AV28" s="5"/>
      <c r="AW28" s="6"/>
      <c r="AX28" s="7"/>
      <c r="AY28" s="2"/>
      <c r="AZ28" s="2"/>
      <c r="BA28" s="2"/>
      <c r="BB28" s="2"/>
      <c r="BC28" s="3"/>
      <c r="BD28" s="5"/>
      <c r="BE28" s="6"/>
      <c r="BF28" s="7"/>
      <c r="BG28" s="3"/>
      <c r="BH28" s="5"/>
      <c r="BI28" s="6"/>
      <c r="BJ28" s="7"/>
      <c r="BK28" s="3"/>
      <c r="BL28" s="5"/>
      <c r="BM28" s="6"/>
      <c r="BN28" s="7"/>
      <c r="BO28" s="2"/>
      <c r="BP28" s="2"/>
      <c r="BQ28" s="2"/>
      <c r="BR28" s="2"/>
    </row>
    <row r="29" spans="2:70" ht="18.75" customHeight="1" x14ac:dyDescent="0.25">
      <c r="B29" s="8" t="s">
        <v>190</v>
      </c>
      <c r="C29" s="3" t="s">
        <v>190</v>
      </c>
      <c r="D29" s="3"/>
      <c r="E29" s="5" t="s">
        <v>191</v>
      </c>
      <c r="F29" s="5"/>
      <c r="G29" s="6" t="str">
        <f ca="1">IFERROR(__xludf.DUMMYFUNCTION("GOOGLETRANSLATE(B29,""ja"",""ko"")"),"무강")</f>
        <v>무강</v>
      </c>
      <c r="H29" s="6"/>
      <c r="I29" s="7" t="str">
        <f ca="1">IFERROR(__xludf.DUMMYFUNCTION("GOOGLETRANSLATE(B29,""ja"",""zh"")"),"萝卜丝")</f>
        <v>萝卜丝</v>
      </c>
      <c r="J29" s="7"/>
      <c r="K29" s="3" t="s">
        <v>190</v>
      </c>
      <c r="L29" s="3"/>
      <c r="M29" s="5" t="s">
        <v>191</v>
      </c>
      <c r="N29" s="5"/>
      <c r="O29" s="6" t="str">
        <f ca="1">IFERROR(__xludf.DUMMYFUNCTION("GOOGLETRANSLATE(B29,""ja"",""ko"")"),"무강")</f>
        <v>무강</v>
      </c>
      <c r="P29" s="6"/>
      <c r="Q29" s="7" t="str">
        <f ca="1">IFERROR(__xludf.DUMMYFUNCTION("GOOGLETRANSLATE(B29,""ja"",""zh"")"),"萝卜丝")</f>
        <v>萝卜丝</v>
      </c>
      <c r="R29" s="7"/>
      <c r="S29" s="3" t="s">
        <v>192</v>
      </c>
      <c r="T29" s="5" t="str">
        <f ca="1">IFERROR(__xludf.DUMMYFUNCTION("GOOGLETRANSLATE(S29,""ja"",""en"")"),"Single grated radish")</f>
        <v>Single grated radish</v>
      </c>
      <c r="U29" s="6" t="str">
        <f ca="1">IFERROR(__xludf.DUMMYFUNCTION("GOOGLETRANSLATE(S29,""ja"",""ko"")"),"단품 무우 내림")</f>
        <v>단품 무우 내림</v>
      </c>
      <c r="V29" s="7" t="str">
        <f ca="1">IFERROR(__xludf.DUMMYFUNCTION("GOOGLETRANSLATE(S29,""ja"",""zh"")"),"单根萝卜丝")</f>
        <v>单根萝卜丝</v>
      </c>
      <c r="W29" s="3"/>
      <c r="X29" s="5"/>
      <c r="Y29" s="6"/>
      <c r="Z29" s="7"/>
      <c r="AA29" s="3"/>
      <c r="AB29" s="5"/>
      <c r="AC29" s="6"/>
      <c r="AD29" s="7"/>
      <c r="AE29" s="3"/>
      <c r="AF29" s="5"/>
      <c r="AG29" s="6"/>
      <c r="AH29" s="7"/>
      <c r="AI29" s="2"/>
      <c r="AJ29" s="2"/>
      <c r="AK29" s="2"/>
      <c r="AL29" s="2"/>
      <c r="AM29" s="3"/>
      <c r="AN29" s="5"/>
      <c r="AO29" s="6"/>
      <c r="AP29" s="7"/>
      <c r="AQ29" s="3"/>
      <c r="AR29" s="5"/>
      <c r="AS29" s="6"/>
      <c r="AT29" s="7"/>
      <c r="AU29" s="3"/>
      <c r="AV29" s="5"/>
      <c r="AW29" s="6"/>
      <c r="AX29" s="7"/>
      <c r="AY29" s="2"/>
      <c r="AZ29" s="2"/>
      <c r="BA29" s="2"/>
      <c r="BB29" s="2"/>
      <c r="BC29" s="3"/>
      <c r="BD29" s="5"/>
      <c r="BE29" s="6"/>
      <c r="BF29" s="7"/>
      <c r="BG29" s="3"/>
      <c r="BH29" s="5"/>
      <c r="BI29" s="6"/>
      <c r="BJ29" s="7"/>
      <c r="BK29" s="3"/>
      <c r="BL29" s="5"/>
      <c r="BM29" s="6"/>
      <c r="BN29" s="7"/>
      <c r="BO29" s="2"/>
      <c r="BP29" s="2"/>
      <c r="BQ29" s="2"/>
      <c r="BR29" s="2"/>
    </row>
    <row r="30" spans="2:70" ht="18.75" customHeight="1" x14ac:dyDescent="0.25">
      <c r="B30" s="8" t="s">
        <v>193</v>
      </c>
      <c r="C30" s="3" t="s">
        <v>193</v>
      </c>
      <c r="D30" s="3"/>
      <c r="E30" s="5" t="s">
        <v>194</v>
      </c>
      <c r="F30" s="5"/>
      <c r="G30" s="6" t="str">
        <f ca="1">IFERROR(__xludf.DUMMYFUNCTION("GOOGLETRANSLATE(B30,""ja"",""ko"")"),"오쿠라 모로헤이야")</f>
        <v>오쿠라 모로헤이야</v>
      </c>
      <c r="H30" s="6"/>
      <c r="I30" s="7" t="str">
        <f ca="1">IFERROR(__xludf.DUMMYFUNCTION("GOOGLETRANSLATE(B30,""ja"",""zh"")"),"大仓莫罗平亚")</f>
        <v>大仓莫罗平亚</v>
      </c>
      <c r="J30" s="7"/>
      <c r="K30" s="3" t="s">
        <v>193</v>
      </c>
      <c r="L30" s="3"/>
      <c r="M30" s="5" t="s">
        <v>194</v>
      </c>
      <c r="N30" s="5"/>
      <c r="O30" s="6" t="str">
        <f ca="1">IFERROR(__xludf.DUMMYFUNCTION("GOOGLETRANSLATE(B30,""ja"",""ko"")"),"오쿠라 모로헤이야")</f>
        <v>오쿠라 모로헤이야</v>
      </c>
      <c r="P30" s="6"/>
      <c r="Q30" s="7" t="str">
        <f ca="1">IFERROR(__xludf.DUMMYFUNCTION("GOOGLETRANSLATE(B30,""ja"",""zh"")"),"大仓莫罗平亚")</f>
        <v>大仓莫罗平亚</v>
      </c>
      <c r="R30" s="7"/>
      <c r="S30" s="3" t="s">
        <v>195</v>
      </c>
      <c r="T30" s="5" t="str">
        <f ca="1">IFERROR(__xludf.DUMMYFUNCTION("GOOGLETRANSLATE(S30,""ja"",""en"")"),"Single item Okura Morohei")</f>
        <v>Single item Okura Morohei</v>
      </c>
      <c r="U30" s="6" t="str">
        <f ca="1">IFERROR(__xludf.DUMMYFUNCTION("GOOGLETRANSLATE(S30,""ja"",""ko"")"),"단품 오쿠라 모로헤이")</f>
        <v>단품 오쿠라 모로헤이</v>
      </c>
      <c r="V30" s="7" t="str">
        <f ca="1">IFERROR(__xludf.DUMMYFUNCTION("GOOGLETRANSLATE(S30,""ja"",""zh"")"),"单品 大仓师平")</f>
        <v>单品 大仓师平</v>
      </c>
      <c r="W30" s="3"/>
      <c r="X30" s="5"/>
      <c r="Y30" s="6"/>
      <c r="Z30" s="7"/>
      <c r="AA30" s="3"/>
      <c r="AB30" s="5"/>
      <c r="AC30" s="6"/>
      <c r="AD30" s="7"/>
      <c r="AE30" s="3"/>
      <c r="AF30" s="5"/>
      <c r="AG30" s="6"/>
      <c r="AH30" s="7"/>
      <c r="AI30" s="2"/>
      <c r="AJ30" s="2"/>
      <c r="AK30" s="2"/>
      <c r="AL30" s="2"/>
      <c r="AM30" s="3"/>
      <c r="AN30" s="5"/>
      <c r="AO30" s="6"/>
      <c r="AP30" s="7"/>
      <c r="AQ30" s="3"/>
      <c r="AR30" s="5"/>
      <c r="AS30" s="6"/>
      <c r="AT30" s="7"/>
      <c r="AU30" s="3"/>
      <c r="AV30" s="5"/>
      <c r="AW30" s="6"/>
      <c r="AX30" s="7"/>
      <c r="AY30" s="2"/>
      <c r="AZ30" s="2"/>
      <c r="BA30" s="2"/>
      <c r="BB30" s="2"/>
      <c r="BC30" s="3"/>
      <c r="BD30" s="5"/>
      <c r="BE30" s="6"/>
      <c r="BF30" s="7"/>
      <c r="BG30" s="3"/>
      <c r="BH30" s="5"/>
      <c r="BI30" s="6"/>
      <c r="BJ30" s="7"/>
      <c r="BK30" s="3"/>
      <c r="BL30" s="5"/>
      <c r="BM30" s="6"/>
      <c r="BN30" s="7"/>
      <c r="BO30" s="2"/>
      <c r="BP30" s="2"/>
      <c r="BQ30" s="2"/>
      <c r="BR30" s="2"/>
    </row>
    <row r="31" spans="2:70" ht="18.75" customHeight="1" x14ac:dyDescent="0.25">
      <c r="B31" s="8" t="s">
        <v>196</v>
      </c>
      <c r="C31" s="3" t="s">
        <v>196</v>
      </c>
      <c r="D31" s="3"/>
      <c r="E31" s="5" t="s">
        <v>197</v>
      </c>
      <c r="F31" s="5" t="s">
        <v>198</v>
      </c>
      <c r="G31" s="6" t="str">
        <f ca="1">IFERROR(__xludf.DUMMYFUNCTION("GOOGLETRANSLATE(B31,""ja"",""ko"")"),"특대 튀김")</f>
        <v>특대 튀김</v>
      </c>
      <c r="H31" s="6"/>
      <c r="I31" s="7" t="str">
        <f ca="1">IFERROR(__xludf.DUMMYFUNCTION("GOOGLETRANSLATE(B31,""ja"",""zh"")"),"特大号炸薯条")</f>
        <v>特大号炸薯条</v>
      </c>
      <c r="J31" s="7"/>
      <c r="K31" s="3" t="s">
        <v>196</v>
      </c>
      <c r="L31" s="3"/>
      <c r="M31" s="5" t="s">
        <v>197</v>
      </c>
      <c r="N31" s="5" t="s">
        <v>198</v>
      </c>
      <c r="O31" s="6" t="str">
        <f ca="1">IFERROR(__xludf.DUMMYFUNCTION("GOOGLETRANSLATE(B31,""ja"",""ko"")"),"특대 튀김")</f>
        <v>특대 튀김</v>
      </c>
      <c r="P31" s="6"/>
      <c r="Q31" s="7" t="str">
        <f ca="1">IFERROR(__xludf.DUMMYFUNCTION("GOOGLETRANSLATE(B31,""ja"",""zh"")"),"特大号炸薯条")</f>
        <v>特大号炸薯条</v>
      </c>
      <c r="R31" s="7"/>
      <c r="S31" s="3" t="s">
        <v>196</v>
      </c>
      <c r="T31" s="5" t="str">
        <f ca="1">IFERROR(__xludf.DUMMYFUNCTION("GOOGLETRANSLATE(S31,""ja"",""en"")"),"extra large kakiage")</f>
        <v>extra large kakiage</v>
      </c>
      <c r="U31" s="6" t="str">
        <f ca="1">IFERROR(__xludf.DUMMYFUNCTION("GOOGLETRANSLATE(S31,""ja"",""ko"")"),"특대 튀김")</f>
        <v>특대 튀김</v>
      </c>
      <c r="V31" s="7" t="str">
        <f ca="1">IFERROR(__xludf.DUMMYFUNCTION("GOOGLETRANSLATE(S31,""ja"",""zh"")"),"特大号炸薯条")</f>
        <v>特大号炸薯条</v>
      </c>
      <c r="W31" s="3"/>
      <c r="X31" s="5"/>
      <c r="Y31" s="6"/>
      <c r="Z31" s="7"/>
      <c r="AA31" s="3"/>
      <c r="AB31" s="5"/>
      <c r="AC31" s="6"/>
      <c r="AD31" s="7"/>
      <c r="AE31" s="3"/>
      <c r="AF31" s="5"/>
      <c r="AG31" s="6"/>
      <c r="AH31" s="7"/>
      <c r="AI31" s="2"/>
      <c r="AJ31" s="2"/>
      <c r="AK31" s="2"/>
      <c r="AL31" s="2"/>
      <c r="AM31" s="3"/>
      <c r="AN31" s="5"/>
      <c r="AO31" s="6"/>
      <c r="AP31" s="7"/>
      <c r="AQ31" s="3"/>
      <c r="AR31" s="5"/>
      <c r="AS31" s="6"/>
      <c r="AT31" s="7"/>
      <c r="AU31" s="3"/>
      <c r="AV31" s="5"/>
      <c r="AW31" s="6"/>
      <c r="AX31" s="7"/>
      <c r="AY31" s="2"/>
      <c r="AZ31" s="2"/>
      <c r="BA31" s="2"/>
      <c r="BB31" s="2"/>
      <c r="BC31" s="3"/>
      <c r="BD31" s="5"/>
      <c r="BE31" s="6"/>
      <c r="BF31" s="7"/>
      <c r="BG31" s="3"/>
      <c r="BH31" s="5"/>
      <c r="BI31" s="6"/>
      <c r="BJ31" s="7"/>
      <c r="BK31" s="3"/>
      <c r="BL31" s="5"/>
      <c r="BM31" s="6"/>
      <c r="BN31" s="7"/>
      <c r="BO31" s="2"/>
      <c r="BP31" s="2"/>
      <c r="BQ31" s="2"/>
      <c r="BR31" s="2"/>
    </row>
    <row r="32" spans="2:70" ht="18.75" customHeight="1" x14ac:dyDescent="0.25">
      <c r="B32" s="8" t="s">
        <v>199</v>
      </c>
      <c r="C32" s="3" t="s">
        <v>199</v>
      </c>
      <c r="D32" s="3"/>
      <c r="E32" s="5" t="s">
        <v>200</v>
      </c>
      <c r="F32" s="5"/>
      <c r="G32" s="6" t="str">
        <f ca="1">IFERROR(__xludf.DUMMYFUNCTION("GOOGLETRANSLATE(B32,""ja"",""ko"")"),"키스천")</f>
        <v>키스천</v>
      </c>
      <c r="H32" s="6"/>
      <c r="I32" s="7" t="str">
        <f ca="1">IFERROR(__xludf.DUMMYFUNCTION("GOOGLETRANSLATE(B32,""ja"",""zh"")"),"亲吻天堂")</f>
        <v>亲吻天堂</v>
      </c>
      <c r="J32" s="7"/>
      <c r="K32" s="3" t="s">
        <v>199</v>
      </c>
      <c r="L32" s="3"/>
      <c r="M32" s="5" t="s">
        <v>200</v>
      </c>
      <c r="N32" s="5"/>
      <c r="O32" s="6" t="str">
        <f ca="1">IFERROR(__xludf.DUMMYFUNCTION("GOOGLETRANSLATE(B32,""ja"",""ko"")"),"키스천")</f>
        <v>키스천</v>
      </c>
      <c r="P32" s="6"/>
      <c r="Q32" s="7" t="str">
        <f ca="1">IFERROR(__xludf.DUMMYFUNCTION("GOOGLETRANSLATE(B32,""ja"",""zh"")"),"亲吻天堂")</f>
        <v>亲吻天堂</v>
      </c>
      <c r="R32" s="7"/>
      <c r="S32" s="3" t="s">
        <v>201</v>
      </c>
      <c r="T32" s="5" t="str">
        <f ca="1">IFERROR(__xludf.DUMMYFUNCTION("GOOGLETRANSLATE(S32,""ja"",""en"")"),"Single item Kissten")</f>
        <v>Single item Kissten</v>
      </c>
      <c r="U32" s="6" t="str">
        <f ca="1">IFERROR(__xludf.DUMMYFUNCTION("GOOGLETRANSLATE(S32,""ja"",""ko"")"),"단품 키스 천")</f>
        <v>단품 키스 천</v>
      </c>
      <c r="V32" s="7" t="str">
        <f ca="1">IFERROR(__xludf.DUMMYFUNCTION("GOOGLETRANSLATE(S32,""ja"",""zh"")"),"单品 基斯顿")</f>
        <v>单品 基斯顿</v>
      </c>
      <c r="W32" s="3"/>
      <c r="X32" s="5"/>
      <c r="Y32" s="6"/>
      <c r="Z32" s="7"/>
      <c r="AA32" s="3"/>
      <c r="AB32" s="5"/>
      <c r="AC32" s="6"/>
      <c r="AD32" s="7"/>
      <c r="AE32" s="3"/>
      <c r="AF32" s="5"/>
      <c r="AG32" s="6"/>
      <c r="AH32" s="7"/>
      <c r="AI32" s="2"/>
      <c r="AJ32" s="2"/>
      <c r="AK32" s="2"/>
      <c r="AL32" s="2"/>
      <c r="AM32" s="3"/>
      <c r="AN32" s="5"/>
      <c r="AO32" s="6"/>
      <c r="AP32" s="7"/>
      <c r="AQ32" s="3"/>
      <c r="AR32" s="5"/>
      <c r="AS32" s="6"/>
      <c r="AT32" s="7"/>
      <c r="AU32" s="3"/>
      <c r="AV32" s="5"/>
      <c r="AW32" s="6"/>
      <c r="AX32" s="7"/>
      <c r="AY32" s="2"/>
      <c r="AZ32" s="2"/>
      <c r="BA32" s="2"/>
      <c r="BB32" s="2"/>
      <c r="BC32" s="3"/>
      <c r="BD32" s="5"/>
      <c r="BE32" s="6"/>
      <c r="BF32" s="7"/>
      <c r="BG32" s="3"/>
      <c r="BH32" s="5"/>
      <c r="BI32" s="6"/>
      <c r="BJ32" s="7"/>
      <c r="BK32" s="3"/>
      <c r="BL32" s="5"/>
      <c r="BM32" s="6"/>
      <c r="BN32" s="7"/>
      <c r="BO32" s="2"/>
      <c r="BP32" s="2"/>
      <c r="BQ32" s="2"/>
      <c r="BR32" s="2"/>
    </row>
    <row r="33" spans="2:70" ht="18.75" customHeight="1" x14ac:dyDescent="0.25">
      <c r="B33" s="8" t="s">
        <v>202</v>
      </c>
      <c r="C33" s="3" t="s">
        <v>202</v>
      </c>
      <c r="D33" s="3"/>
      <c r="E33" s="5" t="s">
        <v>203</v>
      </c>
      <c r="F33" s="5"/>
      <c r="G33" s="6" t="str">
        <f ca="1">IFERROR(__xludf.DUMMYFUNCTION("GOOGLETRANSLATE(B33,""ja"",""ko"")"),"토로로 다시마")</f>
        <v>토로로 다시마</v>
      </c>
      <c r="H33" s="6"/>
      <c r="I33" s="7" t="str">
        <f ca="1">IFERROR(__xludf.DUMMYFUNCTION("GOOGLETRANSLATE(B33,""ja"",""zh"")"),"托罗罗海带")</f>
        <v>托罗罗海带</v>
      </c>
      <c r="J33" s="7"/>
      <c r="K33" s="3" t="s">
        <v>202</v>
      </c>
      <c r="L33" s="3"/>
      <c r="M33" s="5" t="s">
        <v>203</v>
      </c>
      <c r="N33" s="5"/>
      <c r="O33" s="6" t="str">
        <f ca="1">IFERROR(__xludf.DUMMYFUNCTION("GOOGLETRANSLATE(B33,""ja"",""ko"")"),"토로로 다시마")</f>
        <v>토로로 다시마</v>
      </c>
      <c r="P33" s="6"/>
      <c r="Q33" s="7" t="str">
        <f ca="1">IFERROR(__xludf.DUMMYFUNCTION("GOOGLETRANSLATE(B33,""ja"",""zh"")"),"托罗罗海带")</f>
        <v>托罗罗海带</v>
      </c>
      <c r="R33" s="7"/>
      <c r="S33" s="3" t="s">
        <v>204</v>
      </c>
      <c r="T33" s="5" t="str">
        <f ca="1">IFERROR(__xludf.DUMMYFUNCTION("GOOGLETRANSLATE(S33,""ja"",""en"")"),"Single item: Tororo Konbu")</f>
        <v>Single item: Tororo Konbu</v>
      </c>
      <c r="U33" s="6" t="str">
        <f ca="1">IFERROR(__xludf.DUMMYFUNCTION("GOOGLETRANSLATE(S33,""ja"",""ko"")"),"단품 토로로 다시마")</f>
        <v>단품 토로로 다시마</v>
      </c>
      <c r="V33" s="7" t="str">
        <f ca="1">IFERROR(__xludf.DUMMYFUNCTION("GOOGLETRANSLATE(S33,""ja"",""zh"")"),"单品：托罗罗昆布")</f>
        <v>单品：托罗罗昆布</v>
      </c>
      <c r="W33" s="3"/>
      <c r="X33" s="5"/>
      <c r="Y33" s="6"/>
      <c r="Z33" s="7"/>
      <c r="AA33" s="3"/>
      <c r="AB33" s="5"/>
      <c r="AC33" s="6"/>
      <c r="AD33" s="7"/>
      <c r="AE33" s="3"/>
      <c r="AF33" s="5"/>
      <c r="AG33" s="6"/>
      <c r="AH33" s="7"/>
      <c r="AI33" s="2"/>
      <c r="AJ33" s="2"/>
      <c r="AK33" s="2"/>
      <c r="AL33" s="2"/>
      <c r="AM33" s="3"/>
      <c r="AN33" s="5"/>
      <c r="AO33" s="6"/>
      <c r="AP33" s="7"/>
      <c r="AQ33" s="3"/>
      <c r="AR33" s="5"/>
      <c r="AS33" s="6"/>
      <c r="AT33" s="7"/>
      <c r="AU33" s="3"/>
      <c r="AV33" s="5"/>
      <c r="AW33" s="6"/>
      <c r="AX33" s="7"/>
      <c r="AY33" s="2"/>
      <c r="AZ33" s="2"/>
      <c r="BA33" s="2"/>
      <c r="BB33" s="2"/>
      <c r="BC33" s="3"/>
      <c r="BD33" s="5"/>
      <c r="BE33" s="6"/>
      <c r="BF33" s="7"/>
      <c r="BG33" s="3"/>
      <c r="BH33" s="5"/>
      <c r="BI33" s="6"/>
      <c r="BJ33" s="7"/>
      <c r="BK33" s="3"/>
      <c r="BL33" s="5"/>
      <c r="BM33" s="6"/>
      <c r="BN33" s="7"/>
      <c r="BO33" s="2"/>
      <c r="BP33" s="2"/>
      <c r="BQ33" s="2"/>
      <c r="BR33" s="2"/>
    </row>
    <row r="34" spans="2:70" ht="18.75" customHeight="1" x14ac:dyDescent="0.25">
      <c r="B34" s="8" t="s">
        <v>205</v>
      </c>
      <c r="C34" s="3" t="s">
        <v>205</v>
      </c>
      <c r="D34" s="3"/>
      <c r="E34" s="5" t="s">
        <v>206</v>
      </c>
      <c r="F34" s="5"/>
      <c r="G34" s="6" t="str">
        <f ca="1">IFERROR(__xludf.DUMMYFUNCTION("GOOGLETRANSLATE(B34,""ja"",""ko"")"),"치쿠와 천")</f>
        <v>치쿠와 천</v>
      </c>
      <c r="H34" s="6"/>
      <c r="I34" s="7" t="str">
        <f ca="1">IFERROR(__xludf.DUMMYFUNCTION("GOOGLETRANSLATE(B34,""ja"",""zh"")"),"竹轮天妇罗")</f>
        <v>竹轮天妇罗</v>
      </c>
      <c r="J34" s="7"/>
      <c r="K34" s="3" t="s">
        <v>205</v>
      </c>
      <c r="L34" s="3"/>
      <c r="M34" s="5" t="s">
        <v>206</v>
      </c>
      <c r="N34" s="5"/>
      <c r="O34" s="6" t="str">
        <f ca="1">IFERROR(__xludf.DUMMYFUNCTION("GOOGLETRANSLATE(B34,""ja"",""ko"")"),"치쿠와 천")</f>
        <v>치쿠와 천</v>
      </c>
      <c r="P34" s="6"/>
      <c r="Q34" s="7" t="str">
        <f ca="1">IFERROR(__xludf.DUMMYFUNCTION("GOOGLETRANSLATE(B34,""ja"",""zh"")"),"竹轮天妇罗")</f>
        <v>竹轮天妇罗</v>
      </c>
      <c r="R34" s="7"/>
      <c r="S34" s="3" t="s">
        <v>207</v>
      </c>
      <c r="T34" s="5" t="str">
        <f ca="1">IFERROR(__xludf.DUMMYFUNCTION("GOOGLETRANSLATE(S34,""ja"",""en"")"),"Single item Chikuwa tempura")</f>
        <v>Single item Chikuwa tempura</v>
      </c>
      <c r="U34" s="6" t="str">
        <f ca="1">IFERROR(__xludf.DUMMYFUNCTION("GOOGLETRANSLATE(S34,""ja"",""ko"")"),"단품 치쿠와 천")</f>
        <v>단품 치쿠와 천</v>
      </c>
      <c r="V34" s="7" t="str">
        <f ca="1">IFERROR(__xludf.DUMMYFUNCTION("GOOGLETRANSLATE(S34,""ja"",""zh"")"),"单品竹轮天妇罗")</f>
        <v>单品竹轮天妇罗</v>
      </c>
      <c r="W34" s="3"/>
      <c r="X34" s="5"/>
      <c r="Y34" s="6"/>
      <c r="Z34" s="7"/>
      <c r="AA34" s="3"/>
      <c r="AB34" s="5"/>
      <c r="AC34" s="6"/>
      <c r="AD34" s="7"/>
      <c r="AE34" s="3"/>
      <c r="AF34" s="5"/>
      <c r="AG34" s="6"/>
      <c r="AH34" s="7"/>
      <c r="AI34" s="2"/>
      <c r="AJ34" s="2"/>
      <c r="AK34" s="2"/>
      <c r="AL34" s="2"/>
      <c r="AM34" s="3"/>
      <c r="AN34" s="5"/>
      <c r="AO34" s="6"/>
      <c r="AP34" s="7"/>
      <c r="AQ34" s="3"/>
      <c r="AR34" s="5"/>
      <c r="AS34" s="6"/>
      <c r="AT34" s="7"/>
      <c r="AU34" s="3"/>
      <c r="AV34" s="5"/>
      <c r="AW34" s="6"/>
      <c r="AX34" s="7"/>
      <c r="AY34" s="2"/>
      <c r="AZ34" s="2"/>
      <c r="BA34" s="2"/>
      <c r="BB34" s="2"/>
      <c r="BC34" s="3"/>
      <c r="BD34" s="5"/>
      <c r="BE34" s="6"/>
      <c r="BF34" s="7"/>
      <c r="BG34" s="3"/>
      <c r="BH34" s="5"/>
      <c r="BI34" s="6"/>
      <c r="BJ34" s="7"/>
      <c r="BK34" s="3"/>
      <c r="BL34" s="5"/>
      <c r="BM34" s="6"/>
      <c r="BN34" s="7"/>
      <c r="BO34" s="2"/>
      <c r="BP34" s="2"/>
      <c r="BQ34" s="2"/>
      <c r="BR34" s="2"/>
    </row>
    <row r="35" spans="2:70" ht="18.75" customHeight="1" x14ac:dyDescent="0.25">
      <c r="B35" s="8" t="s">
        <v>208</v>
      </c>
      <c r="C35" s="3" t="s">
        <v>208</v>
      </c>
      <c r="D35" s="3"/>
      <c r="E35" s="5" t="s">
        <v>209</v>
      </c>
      <c r="F35" s="5"/>
      <c r="G35" s="6" t="str">
        <f ca="1">IFERROR(__xludf.DUMMYFUNCTION("GOOGLETRANSLATE(B35,""ja"",""ko"")"),"토로로 고구마")</f>
        <v>토로로 고구마</v>
      </c>
      <c r="H35" s="6"/>
      <c r="I35" s="7" t="str">
        <f ca="1">IFERROR(__xludf.DUMMYFUNCTION("GOOGLETRANSLATE(B35,""ja"",""zh"")"),"托罗罗红薯")</f>
        <v>托罗罗红薯</v>
      </c>
      <c r="J35" s="7"/>
      <c r="K35" s="3" t="s">
        <v>208</v>
      </c>
      <c r="L35" s="3"/>
      <c r="M35" s="5" t="s">
        <v>209</v>
      </c>
      <c r="N35" s="5"/>
      <c r="O35" s="6" t="str">
        <f ca="1">IFERROR(__xludf.DUMMYFUNCTION("GOOGLETRANSLATE(B35,""ja"",""ko"")"),"토로로 고구마")</f>
        <v>토로로 고구마</v>
      </c>
      <c r="P35" s="6"/>
      <c r="Q35" s="7" t="str">
        <f ca="1">IFERROR(__xludf.DUMMYFUNCTION("GOOGLETRANSLATE(B35,""ja"",""zh"")"),"托罗罗红薯")</f>
        <v>托罗罗红薯</v>
      </c>
      <c r="R35" s="7"/>
      <c r="S35" s="3" t="s">
        <v>210</v>
      </c>
      <c r="T35" s="5" t="str">
        <f ca="1">IFERROR(__xludf.DUMMYFUNCTION("GOOGLETRANSLATE(S35,""ja"",""en"")"),"Single item: Tororo sweet potato")</f>
        <v>Single item: Tororo sweet potato</v>
      </c>
      <c r="U35" s="6" t="str">
        <f ca="1">IFERROR(__xludf.DUMMYFUNCTION("GOOGLETRANSLATE(S35,""ja"",""ko"")"),"단품 토로로 고구마")</f>
        <v>단품 토로로 고구마</v>
      </c>
      <c r="V35" s="7" t="str">
        <f ca="1">IFERROR(__xludf.DUMMYFUNCTION("GOOGLETRANSLATE(S35,""ja"",""zh"")"),"单品: 托罗罗红薯")</f>
        <v>单品: 托罗罗红薯</v>
      </c>
      <c r="W35" s="3"/>
      <c r="X35" s="5"/>
      <c r="Y35" s="6"/>
      <c r="Z35" s="7"/>
      <c r="AA35" s="3"/>
      <c r="AB35" s="5"/>
      <c r="AC35" s="6"/>
      <c r="AD35" s="7"/>
      <c r="AE35" s="3"/>
      <c r="AF35" s="5"/>
      <c r="AG35" s="6"/>
      <c r="AH35" s="7"/>
      <c r="AI35" s="2"/>
      <c r="AJ35" s="2"/>
      <c r="AK35" s="2"/>
      <c r="AL35" s="2"/>
      <c r="AM35" s="3"/>
      <c r="AN35" s="5"/>
      <c r="AO35" s="6"/>
      <c r="AP35" s="7"/>
      <c r="AQ35" s="3"/>
      <c r="AR35" s="5"/>
      <c r="AS35" s="6"/>
      <c r="AT35" s="7"/>
      <c r="AU35" s="3"/>
      <c r="AV35" s="5"/>
      <c r="AW35" s="6"/>
      <c r="AX35" s="7"/>
      <c r="AY35" s="2"/>
      <c r="AZ35" s="2"/>
      <c r="BA35" s="2"/>
      <c r="BB35" s="2"/>
      <c r="BC35" s="3"/>
      <c r="BD35" s="5"/>
      <c r="BE35" s="6"/>
      <c r="BF35" s="7"/>
      <c r="BG35" s="3"/>
      <c r="BH35" s="5"/>
      <c r="BI35" s="6"/>
      <c r="BJ35" s="7"/>
      <c r="BK35" s="3"/>
      <c r="BL35" s="5"/>
      <c r="BM35" s="6"/>
      <c r="BN35" s="7"/>
      <c r="BO35" s="2"/>
      <c r="BP35" s="2"/>
      <c r="BQ35" s="2"/>
      <c r="BR35" s="2"/>
    </row>
    <row r="36" spans="2:70" ht="18.75" customHeight="1" x14ac:dyDescent="0.25">
      <c r="B36" s="8" t="s">
        <v>211</v>
      </c>
      <c r="C36" s="3" t="s">
        <v>211</v>
      </c>
      <c r="D36" s="3"/>
      <c r="E36" s="5" t="s">
        <v>212</v>
      </c>
      <c r="F36" s="5"/>
      <c r="G36" s="6" t="str">
        <f ca="1">IFERROR(__xludf.DUMMYFUNCTION("GOOGLETRANSLATE(B36,""ja"",""ko"")"),"블루 노리 부카케")</f>
        <v>블루 노리 부카케</v>
      </c>
      <c r="H36" s="6"/>
      <c r="I36" s="7" t="str">
        <f ca="1">IFERROR(__xludf.DUMMYFUNCTION("GOOGLETRANSLATE(B36,""ja"",""zh"")"),"青典颜射")</f>
        <v>青典颜射</v>
      </c>
      <c r="J36" s="7"/>
      <c r="K36" s="3" t="s">
        <v>211</v>
      </c>
      <c r="L36" s="3"/>
      <c r="M36" s="5" t="s">
        <v>212</v>
      </c>
      <c r="N36" s="5"/>
      <c r="O36" s="6" t="str">
        <f ca="1">IFERROR(__xludf.DUMMYFUNCTION("GOOGLETRANSLATE(B36,""ja"",""ko"")"),"블루 노리 부카케")</f>
        <v>블루 노리 부카케</v>
      </c>
      <c r="P36" s="6"/>
      <c r="Q36" s="7" t="str">
        <f ca="1">IFERROR(__xludf.DUMMYFUNCTION("GOOGLETRANSLATE(B36,""ja"",""zh"")"),"青典颜射")</f>
        <v>青典颜射</v>
      </c>
      <c r="R36" s="7"/>
      <c r="S36" s="3" t="s">
        <v>213</v>
      </c>
      <c r="T36" s="5" t="str">
        <f ca="1">IFERROR(__xludf.DUMMYFUNCTION("GOOGLETRANSLATE(S36,""ja"",""en"")"),"blue bukkake")</f>
        <v>blue bukkake</v>
      </c>
      <c r="U36" s="6" t="str">
        <f ca="1">IFERROR(__xludf.DUMMYFUNCTION("GOOGLETRANSLATE(S36,""ja"",""ko"")"),"푸른 부카케")</f>
        <v>푸른 부카케</v>
      </c>
      <c r="V36" s="7" t="str">
        <f ca="1">IFERROR(__xludf.DUMMYFUNCTION("GOOGLETRANSLATE(S36,""ja"",""zh"")"),"蓝色颜射")</f>
        <v>蓝色颜射</v>
      </c>
      <c r="W36" s="3"/>
      <c r="X36" s="5"/>
      <c r="Y36" s="6"/>
      <c r="Z36" s="7"/>
      <c r="AA36" s="3"/>
      <c r="AB36" s="5"/>
      <c r="AC36" s="6"/>
      <c r="AD36" s="7"/>
      <c r="AE36" s="3"/>
      <c r="AF36" s="5"/>
      <c r="AG36" s="6"/>
      <c r="AH36" s="7"/>
      <c r="AI36" s="2"/>
      <c r="AJ36" s="2"/>
      <c r="AK36" s="2"/>
      <c r="AL36" s="2"/>
      <c r="AM36" s="3"/>
      <c r="AN36" s="5"/>
      <c r="AO36" s="6"/>
      <c r="AP36" s="7"/>
      <c r="AQ36" s="3"/>
      <c r="AR36" s="5"/>
      <c r="AS36" s="6"/>
      <c r="AT36" s="7"/>
      <c r="AU36" s="3"/>
      <c r="AV36" s="5"/>
      <c r="AW36" s="6"/>
      <c r="AX36" s="7"/>
      <c r="AY36" s="2"/>
      <c r="AZ36" s="2"/>
      <c r="BA36" s="2"/>
      <c r="BB36" s="2"/>
      <c r="BC36" s="3"/>
      <c r="BD36" s="5"/>
      <c r="BE36" s="6"/>
      <c r="BF36" s="7"/>
      <c r="BG36" s="3"/>
      <c r="BH36" s="5"/>
      <c r="BI36" s="6"/>
      <c r="BJ36" s="7"/>
      <c r="BK36" s="3"/>
      <c r="BL36" s="5"/>
      <c r="BM36" s="6"/>
      <c r="BN36" s="7"/>
      <c r="BO36" s="2"/>
      <c r="BP36" s="2"/>
      <c r="BQ36" s="2"/>
      <c r="BR36" s="2"/>
    </row>
    <row r="37" spans="2:70" ht="18.75" customHeight="1" x14ac:dyDescent="0.25">
      <c r="B37" s="8" t="s">
        <v>214</v>
      </c>
      <c r="C37" s="3" t="s">
        <v>214</v>
      </c>
      <c r="D37" s="3"/>
      <c r="E37" s="5" t="s">
        <v>215</v>
      </c>
      <c r="F37" s="5"/>
      <c r="G37" s="6" t="str">
        <f ca="1">IFERROR(__xludf.DUMMYFUNCTION("GOOGLETRANSLATE(B37,""ja"",""ko"")"),"호보 천")</f>
        <v>호보 천</v>
      </c>
      <c r="H37" s="6"/>
      <c r="I37" s="7" t="str">
        <f ca="1">IFERROR(__xludf.DUMMYFUNCTION("GOOGLETRANSLATE(B37,""ja"",""zh"")"),"霍布滕")</f>
        <v>霍布滕</v>
      </c>
      <c r="J37" s="7"/>
      <c r="K37" s="3" t="s">
        <v>214</v>
      </c>
      <c r="L37" s="3"/>
      <c r="M37" s="5" t="s">
        <v>215</v>
      </c>
      <c r="N37" s="5"/>
      <c r="O37" s="6" t="str">
        <f ca="1">IFERROR(__xludf.DUMMYFUNCTION("GOOGLETRANSLATE(B37,""ja"",""ko"")"),"호보 천")</f>
        <v>호보 천</v>
      </c>
      <c r="P37" s="6"/>
      <c r="Q37" s="7" t="str">
        <f ca="1">IFERROR(__xludf.DUMMYFUNCTION("GOOGLETRANSLATE(B37,""ja"",""zh"")"),"霍布滕")</f>
        <v>霍布滕</v>
      </c>
      <c r="R37" s="7"/>
      <c r="S37" s="3" t="s">
        <v>216</v>
      </c>
      <c r="T37" s="5" t="str">
        <f ca="1">IFERROR(__xludf.DUMMYFUNCTION("GOOGLETRANSLATE(S37,""ja"",""en"")"),"Single item Hobou tempura")</f>
        <v>Single item Hobou tempura</v>
      </c>
      <c r="U37" s="6" t="str">
        <f ca="1">IFERROR(__xludf.DUMMYFUNCTION("GOOGLETRANSLATE(S37,""ja"",""ko"")"),"단품 푹신한 하늘")</f>
        <v>단품 푹신한 하늘</v>
      </c>
      <c r="V37" s="7" t="str">
        <f ca="1">IFERROR(__xludf.DUMMYFUNCTION("GOOGLETRANSLATE(S37,""ja"",""zh"")"),"单品 方方天妇罗")</f>
        <v>单品 方方天妇罗</v>
      </c>
      <c r="W37" s="3"/>
      <c r="X37" s="5"/>
      <c r="Y37" s="6"/>
      <c r="Z37" s="7"/>
      <c r="AA37" s="3"/>
      <c r="AB37" s="5"/>
      <c r="AC37" s="6"/>
      <c r="AD37" s="7"/>
      <c r="AE37" s="3"/>
      <c r="AF37" s="5"/>
      <c r="AG37" s="6"/>
      <c r="AH37" s="7"/>
      <c r="AI37" s="2"/>
      <c r="AJ37" s="2"/>
      <c r="AK37" s="2"/>
      <c r="AL37" s="2"/>
      <c r="AM37" s="3"/>
      <c r="AN37" s="5"/>
      <c r="AO37" s="6"/>
      <c r="AP37" s="7"/>
      <c r="AQ37" s="3"/>
      <c r="AR37" s="5"/>
      <c r="AS37" s="6"/>
      <c r="AT37" s="7"/>
      <c r="AU37" s="3"/>
      <c r="AV37" s="5"/>
      <c r="AW37" s="6"/>
      <c r="AX37" s="7"/>
      <c r="AY37" s="2"/>
      <c r="AZ37" s="2"/>
      <c r="BA37" s="2"/>
      <c r="BB37" s="2"/>
      <c r="BC37" s="3"/>
      <c r="BD37" s="5"/>
      <c r="BE37" s="6"/>
      <c r="BF37" s="7"/>
      <c r="BG37" s="3"/>
      <c r="BH37" s="5"/>
      <c r="BI37" s="6"/>
      <c r="BJ37" s="7"/>
      <c r="BK37" s="3"/>
      <c r="BL37" s="5"/>
      <c r="BM37" s="6"/>
      <c r="BN37" s="7"/>
      <c r="BO37" s="2"/>
      <c r="BP37" s="2"/>
      <c r="BQ37" s="2"/>
      <c r="BR37" s="2"/>
    </row>
    <row r="38" spans="2:70" ht="18.75" customHeight="1" x14ac:dyDescent="0.25">
      <c r="B38" s="8" t="s">
        <v>217</v>
      </c>
      <c r="C38" s="3" t="s">
        <v>217</v>
      </c>
      <c r="D38" s="3"/>
      <c r="E38" s="5" t="s">
        <v>218</v>
      </c>
      <c r="F38" s="5"/>
      <c r="G38" s="6" t="str">
        <f ca="1">IFERROR(__xludf.DUMMYFUNCTION("GOOGLETRANSLATE(B38,""ja"",""ko"")"),"오쿠라 텐 2 개")</f>
        <v>오쿠라 텐 2 개</v>
      </c>
      <c r="H38" s="6"/>
      <c r="I38" s="7" t="str">
        <f ca="1">IFERROR(__xludf.DUMMYFUNCTION("GOOGLETRANSLATE(B38,""ja"",""zh"")"),"秋葵天妇罗（2个）")</f>
        <v>秋葵天妇罗（2个）</v>
      </c>
      <c r="J38" s="7"/>
      <c r="K38" s="3" t="s">
        <v>217</v>
      </c>
      <c r="L38" s="3"/>
      <c r="M38" s="5" t="s">
        <v>218</v>
      </c>
      <c r="N38" s="5"/>
      <c r="O38" s="6" t="str">
        <f ca="1">IFERROR(__xludf.DUMMYFUNCTION("GOOGLETRANSLATE(B38,""ja"",""ko"")"),"오쿠라 텐 2 개")</f>
        <v>오쿠라 텐 2 개</v>
      </c>
      <c r="P38" s="6"/>
      <c r="Q38" s="7" t="str">
        <f ca="1">IFERROR(__xludf.DUMMYFUNCTION("GOOGLETRANSLATE(B38,""ja"",""zh"")"),"秋葵天妇罗（2个）")</f>
        <v>秋葵天妇罗（2个）</v>
      </c>
      <c r="R38" s="7"/>
      <c r="S38" s="3" t="s">
        <v>219</v>
      </c>
      <c r="T38" s="5" t="str">
        <f ca="1">IFERROR(__xludf.DUMMYFUNCTION("GOOGLETRANSLATE(S38,""ja"",""en"")"),"Single item Okura tempura (2 pieces)")</f>
        <v>Single item Okura tempura (2 pieces)</v>
      </c>
      <c r="U38" s="6" t="str">
        <f ca="1">IFERROR(__xludf.DUMMYFUNCTION("GOOGLETRANSLATE(S38,""ja"",""ko"")"),"단품 오쿠라 천 2 개")</f>
        <v>단품 오쿠라 천 2 개</v>
      </c>
      <c r="V38" s="7" t="str">
        <f ca="1">IFERROR(__xludf.DUMMYFUNCTION("GOOGLETRANSLATE(S38,""ja"",""zh"")"),"单品大仓天妇罗（2个）")</f>
        <v>单品大仓天妇罗（2个）</v>
      </c>
      <c r="W38" s="3"/>
      <c r="X38" s="5"/>
      <c r="Y38" s="6"/>
      <c r="Z38" s="7"/>
      <c r="AA38" s="3"/>
      <c r="AB38" s="5"/>
      <c r="AC38" s="6"/>
      <c r="AD38" s="7"/>
      <c r="AE38" s="3"/>
      <c r="AF38" s="5"/>
      <c r="AG38" s="6"/>
      <c r="AH38" s="7"/>
      <c r="AI38" s="2"/>
      <c r="AJ38" s="2"/>
      <c r="AK38" s="2"/>
      <c r="AL38" s="2"/>
      <c r="AM38" s="3"/>
      <c r="AN38" s="5"/>
      <c r="AO38" s="6"/>
      <c r="AP38" s="7"/>
      <c r="AQ38" s="3"/>
      <c r="AR38" s="5"/>
      <c r="AS38" s="6"/>
      <c r="AT38" s="7"/>
      <c r="AU38" s="3"/>
      <c r="AV38" s="5"/>
      <c r="AW38" s="6"/>
      <c r="AX38" s="7"/>
      <c r="AY38" s="2"/>
      <c r="AZ38" s="2"/>
      <c r="BA38" s="2"/>
      <c r="BB38" s="2"/>
      <c r="BC38" s="3"/>
      <c r="BD38" s="5"/>
      <c r="BE38" s="6"/>
      <c r="BF38" s="7"/>
      <c r="BG38" s="3"/>
      <c r="BH38" s="5"/>
      <c r="BI38" s="6"/>
      <c r="BJ38" s="7"/>
      <c r="BK38" s="3"/>
      <c r="BL38" s="5"/>
      <c r="BM38" s="6"/>
      <c r="BN38" s="7"/>
      <c r="BO38" s="2"/>
      <c r="BP38" s="2"/>
      <c r="BQ38" s="2"/>
      <c r="BR38" s="2"/>
    </row>
    <row r="39" spans="2:70" ht="18.75" customHeight="1" x14ac:dyDescent="0.25">
      <c r="B39" s="8" t="s">
        <v>220</v>
      </c>
      <c r="C39" s="3" t="s">
        <v>220</v>
      </c>
      <c r="D39" s="3"/>
      <c r="E39" s="5" t="s">
        <v>221</v>
      </c>
      <c r="F39" s="5"/>
      <c r="G39" s="6" t="str">
        <f ca="1">IFERROR(__xludf.DUMMYFUNCTION("GOOGLETRANSLATE(B39,""ja"",""ko"")"),"극태 부카케")</f>
        <v>극태 부카케</v>
      </c>
      <c r="H39" s="6"/>
      <c r="I39" s="7" t="str">
        <f ca="1">IFERROR(__xludf.DUMMYFUNCTION("GOOGLETRANSLATE(B39,""ja"",""zh"")"),"很厚颜射")</f>
        <v>很厚颜射</v>
      </c>
      <c r="J39" s="7"/>
      <c r="K39" s="3" t="s">
        <v>220</v>
      </c>
      <c r="L39" s="3"/>
      <c r="M39" s="5" t="s">
        <v>221</v>
      </c>
      <c r="N39" s="5"/>
      <c r="O39" s="6" t="str">
        <f ca="1">IFERROR(__xludf.DUMMYFUNCTION("GOOGLETRANSLATE(B39,""ja"",""ko"")"),"극태 부카케")</f>
        <v>극태 부카케</v>
      </c>
      <c r="P39" s="6"/>
      <c r="Q39" s="7" t="str">
        <f ca="1">IFERROR(__xludf.DUMMYFUNCTION("GOOGLETRANSLATE(B39,""ja"",""zh"")"),"很厚颜射")</f>
        <v>很厚颜射</v>
      </c>
      <c r="R39" s="7"/>
      <c r="S39" s="3" t="s">
        <v>222</v>
      </c>
      <c r="T39" s="5" t="str">
        <f ca="1">IFERROR(__xludf.DUMMYFUNCTION("GOOGLETRANSLATE(S39,""ja"",""en"")"),"Thick bukkake")</f>
        <v>Thick bukkake</v>
      </c>
      <c r="U39" s="6" t="str">
        <f ca="1">IFERROR(__xludf.DUMMYFUNCTION("GOOGLETRANSLATE(S39,""ja"",""ko"")"),"굵은 부카케")</f>
        <v>굵은 부카케</v>
      </c>
      <c r="V39" s="7" t="str">
        <f ca="1">IFERROR(__xludf.DUMMYFUNCTION("GOOGLETRANSLATE(S39,""ja"",""zh"")"),"厚颜射")</f>
        <v>厚颜射</v>
      </c>
      <c r="W39" s="3"/>
      <c r="X39" s="5"/>
      <c r="Y39" s="6"/>
      <c r="Z39" s="7"/>
      <c r="AA39" s="3"/>
      <c r="AB39" s="5"/>
      <c r="AC39" s="6"/>
      <c r="AD39" s="7"/>
      <c r="AE39" s="3"/>
      <c r="AF39" s="5"/>
      <c r="AG39" s="6"/>
      <c r="AH39" s="7"/>
      <c r="AI39" s="2"/>
      <c r="AJ39" s="2"/>
      <c r="AK39" s="2"/>
      <c r="AL39" s="2"/>
      <c r="AM39" s="3"/>
      <c r="AN39" s="5"/>
      <c r="AO39" s="6"/>
      <c r="AP39" s="7"/>
      <c r="AQ39" s="3"/>
      <c r="AR39" s="5"/>
      <c r="AS39" s="6"/>
      <c r="AT39" s="7"/>
      <c r="AU39" s="3"/>
      <c r="AV39" s="5"/>
      <c r="AW39" s="6"/>
      <c r="AX39" s="7"/>
      <c r="AY39" s="2"/>
      <c r="AZ39" s="2"/>
      <c r="BA39" s="2"/>
      <c r="BB39" s="2"/>
      <c r="BC39" s="3"/>
      <c r="BD39" s="5"/>
      <c r="BE39" s="6"/>
      <c r="BF39" s="7"/>
      <c r="BG39" s="3"/>
      <c r="BH39" s="5"/>
      <c r="BI39" s="6"/>
      <c r="BJ39" s="7"/>
      <c r="BK39" s="3"/>
      <c r="BL39" s="5"/>
      <c r="BM39" s="6"/>
      <c r="BN39" s="7"/>
      <c r="BO39" s="2"/>
      <c r="BP39" s="2"/>
      <c r="BQ39" s="2"/>
      <c r="BR39" s="2"/>
    </row>
    <row r="40" spans="2:70" ht="18.75" customHeight="1" x14ac:dyDescent="0.25">
      <c r="B40" s="8" t="s">
        <v>223</v>
      </c>
      <c r="C40" s="3" t="s">
        <v>224</v>
      </c>
      <c r="D40" s="3" t="s">
        <v>225</v>
      </c>
      <c r="E40" s="5" t="s">
        <v>226</v>
      </c>
      <c r="F40" s="5" t="s">
        <v>134</v>
      </c>
      <c r="G40" s="6" t="str">
        <f ca="1">IFERROR(__xludf.DUMMYFUNCTION("GOOGLETRANSLATE(B40,""ja"",""ko"")"),"테이크 아웃")</f>
        <v>테이크 아웃</v>
      </c>
      <c r="H40" s="6"/>
      <c r="I40" s="7" t="str">
        <f ca="1">IFERROR(__xludf.DUMMYFUNCTION("GOOGLETRANSLATE(B40,""ja"",""zh"")"),"外卖特厚")</f>
        <v>外卖特厚</v>
      </c>
      <c r="J40" s="7"/>
      <c r="K40" s="3" t="s">
        <v>224</v>
      </c>
      <c r="L40" s="3" t="s">
        <v>225</v>
      </c>
      <c r="M40" s="5" t="s">
        <v>226</v>
      </c>
      <c r="N40" s="5" t="s">
        <v>134</v>
      </c>
      <c r="O40" s="6" t="str">
        <f ca="1">IFERROR(__xludf.DUMMYFUNCTION("GOOGLETRANSLATE(B40,""ja"",""ko"")"),"테이크 아웃")</f>
        <v>테이크 아웃</v>
      </c>
      <c r="P40" s="6"/>
      <c r="Q40" s="7" t="str">
        <f ca="1">IFERROR(__xludf.DUMMYFUNCTION("GOOGLETRANSLATE(B40,""ja"",""zh"")"),"外卖特厚")</f>
        <v>外卖特厚</v>
      </c>
      <c r="R40" s="7"/>
      <c r="S40" s="3" t="s">
        <v>227</v>
      </c>
      <c r="T40" s="5" t="str">
        <f ca="1">IFERROR(__xludf.DUMMYFUNCTION("GOOGLETRANSLATE(S40,""ja"",""en"")"),"TO thick")</f>
        <v>TO thick</v>
      </c>
      <c r="U40" s="6" t="str">
        <f ca="1">IFERROR(__xludf.DUMMYFUNCTION("GOOGLETRANSLATE(S40,""ja"",""ko"")"),"TO 태 걸어")</f>
        <v>TO 태 걸어</v>
      </c>
      <c r="V40" s="7" t="str">
        <f ca="1">IFERROR(__xludf.DUMMYFUNCTION("GOOGLETRANSLATE(S40,""ja"",""zh"")"),"至厚")</f>
        <v>至厚</v>
      </c>
      <c r="W40" s="3" t="s">
        <v>228</v>
      </c>
      <c r="X40" s="5" t="str">
        <f ca="1">IFERROR(__xludf.DUMMYFUNCTION("GOOGLETRANSLATE(W40,""ja"",""en"")"),"green onion")</f>
        <v>green onion</v>
      </c>
      <c r="Y40" s="6" t="str">
        <f ca="1">IFERROR(__xludf.DUMMYFUNCTION("GOOGLETRANSLATE(W40,""ja"",""ko"")"),"파")</f>
        <v>파</v>
      </c>
      <c r="Z40" s="7" t="str">
        <f ca="1">IFERROR(__xludf.DUMMYFUNCTION("GOOGLETRANSLATE(W40,""ja"",""zh"")"),"葱")</f>
        <v>葱</v>
      </c>
      <c r="AA40" s="3" t="s">
        <v>229</v>
      </c>
      <c r="AB40" s="5" t="str">
        <f ca="1">IFERROR(__xludf.DUMMYFUNCTION("GOOGLETRANSLATE(AA40,""ja"",""en"")"),"can be")</f>
        <v>can be</v>
      </c>
      <c r="AC40" s="6" t="str">
        <f ca="1">IFERROR(__xludf.DUMMYFUNCTION("GOOGLETRANSLATE(AA40,""ja"",""ko"")"),"예")</f>
        <v>예</v>
      </c>
      <c r="AD40" s="7" t="str">
        <f ca="1">IFERROR(__xludf.DUMMYFUNCTION("GOOGLETRANSLATE(AA40,""ja"",""zh"")"),"可以是")</f>
        <v>可以是</v>
      </c>
      <c r="AE40" s="3" t="s">
        <v>230</v>
      </c>
      <c r="AF40" s="5" t="str">
        <f ca="1">IFERROR(__xludf.DUMMYFUNCTION("GOOGLETRANSLATE(AE40,""ja"",""en"")"),"none")</f>
        <v>none</v>
      </c>
      <c r="AG40" s="6" t="str">
        <f ca="1">IFERROR(__xludf.DUMMYFUNCTION("GOOGLETRANSLATE(AE40,""ja"",""ko"")"),"없음")</f>
        <v>없음</v>
      </c>
      <c r="AH40" s="7" t="str">
        <f ca="1">IFERROR(__xludf.DUMMYFUNCTION("GOOGLETRANSLATE(AE40,""ja"",""zh"")"),"没有任何")</f>
        <v>没有任何</v>
      </c>
      <c r="AI40" s="2"/>
      <c r="AJ40" s="2"/>
      <c r="AK40" s="2"/>
      <c r="AL40" s="2"/>
      <c r="AM40" s="3" t="s">
        <v>231</v>
      </c>
      <c r="AN40" s="5"/>
      <c r="AO40" s="6"/>
      <c r="AP40" s="7"/>
      <c r="AQ40" s="3" t="s">
        <v>229</v>
      </c>
      <c r="AR40" s="5"/>
      <c r="AS40" s="6"/>
      <c r="AT40" s="7"/>
      <c r="AU40" s="3" t="s">
        <v>230</v>
      </c>
      <c r="AV40" s="5"/>
      <c r="AW40" s="6"/>
      <c r="AX40" s="7"/>
      <c r="AY40" s="2"/>
      <c r="AZ40" s="2"/>
      <c r="BA40" s="2"/>
      <c r="BB40" s="2"/>
      <c r="BC40" s="3" t="s">
        <v>232</v>
      </c>
      <c r="BD40" s="5"/>
      <c r="BE40" s="6"/>
      <c r="BF40" s="7"/>
      <c r="BG40" s="3" t="s">
        <v>229</v>
      </c>
      <c r="BH40" s="5"/>
      <c r="BI40" s="6"/>
      <c r="BJ40" s="7"/>
      <c r="BK40" s="3" t="s">
        <v>230</v>
      </c>
      <c r="BL40" s="5"/>
      <c r="BM40" s="6"/>
      <c r="BN40" s="7"/>
      <c r="BO40" s="2"/>
      <c r="BP40" s="2"/>
      <c r="BQ40" s="2"/>
      <c r="BR40" s="2"/>
    </row>
    <row r="41" spans="2:70" ht="18.75" customHeight="1" x14ac:dyDescent="0.25">
      <c r="B41" s="8" t="s">
        <v>233</v>
      </c>
      <c r="C41" s="3" t="s">
        <v>234</v>
      </c>
      <c r="D41" s="3" t="s">
        <v>235</v>
      </c>
      <c r="E41" s="5" t="s">
        <v>236</v>
      </c>
      <c r="F41" s="5" t="s">
        <v>146</v>
      </c>
      <c r="G41" s="6" t="str">
        <f ca="1">IFERROR(__xludf.DUMMYFUNCTION("GOOGLETRANSLATE(B41,""ja"",""ko"")"),"테이크 아웃 걸레 블루 노리")</f>
        <v>테이크 아웃 걸레 블루 노리</v>
      </c>
      <c r="H41" s="6"/>
      <c r="I41" s="7" t="str">
        <f ca="1">IFERROR(__xludf.DUMMYFUNCTION("GOOGLETRANSLATE(B41,""ja"",""zh"")"),"外带青海苔")</f>
        <v>外带青海苔</v>
      </c>
      <c r="J41" s="7"/>
      <c r="K41" s="3" t="s">
        <v>234</v>
      </c>
      <c r="L41" s="3" t="s">
        <v>235</v>
      </c>
      <c r="M41" s="5" t="s">
        <v>236</v>
      </c>
      <c r="N41" s="5" t="s">
        <v>146</v>
      </c>
      <c r="O41" s="6" t="str">
        <f ca="1">IFERROR(__xludf.DUMMYFUNCTION("GOOGLETRANSLATE(B41,""ja"",""ko"")"),"테이크 아웃 걸레 블루 노리")</f>
        <v>테이크 아웃 걸레 블루 노리</v>
      </c>
      <c r="P41" s="6"/>
      <c r="Q41" s="7" t="str">
        <f ca="1">IFERROR(__xludf.DUMMYFUNCTION("GOOGLETRANSLATE(B41,""ja"",""zh"")"),"外带青海苔")</f>
        <v>外带青海苔</v>
      </c>
      <c r="R41" s="7"/>
      <c r="S41" s="3" t="s">
        <v>237</v>
      </c>
      <c r="T41" s="5" t="str">
        <f ca="1">IFERROR(__xludf.DUMMYFUNCTION("GOOGLETRANSLATE(S41,""ja"",""en"")"),"TO Kake Aonori")</f>
        <v>TO Kake Aonori</v>
      </c>
      <c r="U41" s="6" t="str">
        <f ca="1">IFERROR(__xludf.DUMMYFUNCTION("GOOGLETRANSLATE(S41,""ja"",""ko"")"),"TO 카케 푸른 김")</f>
        <v>TO 카케 푸른 김</v>
      </c>
      <c r="V41" s="7" t="str">
        <f ca="1">IFERROR(__xludf.DUMMYFUNCTION("GOOGLETRANSLATE(S41,""ja"",""zh"")"),"致加计青则")</f>
        <v>致加计青则</v>
      </c>
      <c r="W41" s="3" t="s">
        <v>228</v>
      </c>
      <c r="X41" s="5" t="str">
        <f ca="1">IFERROR(__xludf.DUMMYFUNCTION("GOOGLETRANSLATE(W41,""ja"",""en"")"),"green onion")</f>
        <v>green onion</v>
      </c>
      <c r="Y41" s="6" t="str">
        <f ca="1">IFERROR(__xludf.DUMMYFUNCTION("GOOGLETRANSLATE(W41,""ja"",""ko"")"),"파")</f>
        <v>파</v>
      </c>
      <c r="Z41" s="7" t="str">
        <f ca="1">IFERROR(__xludf.DUMMYFUNCTION("GOOGLETRANSLATE(W41,""ja"",""zh"")"),"葱")</f>
        <v>葱</v>
      </c>
      <c r="AA41" s="3" t="s">
        <v>229</v>
      </c>
      <c r="AB41" s="5" t="str">
        <f ca="1">IFERROR(__xludf.DUMMYFUNCTION("GOOGLETRANSLATE(AA41,""ja"",""en"")"),"can be")</f>
        <v>can be</v>
      </c>
      <c r="AC41" s="6" t="str">
        <f ca="1">IFERROR(__xludf.DUMMYFUNCTION("GOOGLETRANSLATE(AA41,""ja"",""ko"")"),"예")</f>
        <v>예</v>
      </c>
      <c r="AD41" s="7" t="str">
        <f ca="1">IFERROR(__xludf.DUMMYFUNCTION("GOOGLETRANSLATE(AA41,""ja"",""zh"")"),"可以是")</f>
        <v>可以是</v>
      </c>
      <c r="AE41" s="3" t="s">
        <v>230</v>
      </c>
      <c r="AF41" s="5" t="str">
        <f ca="1">IFERROR(__xludf.DUMMYFUNCTION("GOOGLETRANSLATE(AE41,""ja"",""en"")"),"none")</f>
        <v>none</v>
      </c>
      <c r="AG41" s="6" t="str">
        <f ca="1">IFERROR(__xludf.DUMMYFUNCTION("GOOGLETRANSLATE(AE41,""ja"",""ko"")"),"없음")</f>
        <v>없음</v>
      </c>
      <c r="AH41" s="7" t="str">
        <f ca="1">IFERROR(__xludf.DUMMYFUNCTION("GOOGLETRANSLATE(AE41,""ja"",""zh"")"),"没有任何")</f>
        <v>没有任何</v>
      </c>
      <c r="AI41" s="2"/>
      <c r="AJ41" s="2"/>
      <c r="AK41" s="2"/>
      <c r="AL41" s="2"/>
      <c r="AM41" s="3" t="s">
        <v>231</v>
      </c>
      <c r="AN41" s="5"/>
      <c r="AO41" s="6"/>
      <c r="AP41" s="7"/>
      <c r="AQ41" s="3" t="s">
        <v>229</v>
      </c>
      <c r="AR41" s="5"/>
      <c r="AS41" s="6"/>
      <c r="AT41" s="7"/>
      <c r="AU41" s="3" t="s">
        <v>230</v>
      </c>
      <c r="AV41" s="5"/>
      <c r="AW41" s="6"/>
      <c r="AX41" s="7"/>
      <c r="AY41" s="2"/>
      <c r="AZ41" s="2"/>
      <c r="BA41" s="2"/>
      <c r="BB41" s="2"/>
      <c r="BC41" s="3" t="s">
        <v>232</v>
      </c>
      <c r="BD41" s="5"/>
      <c r="BE41" s="6"/>
      <c r="BF41" s="7"/>
      <c r="BG41" s="3" t="s">
        <v>229</v>
      </c>
      <c r="BH41" s="5"/>
      <c r="BI41" s="6"/>
      <c r="BJ41" s="7"/>
      <c r="BK41" s="3" t="s">
        <v>230</v>
      </c>
      <c r="BL41" s="5"/>
      <c r="BM41" s="6"/>
      <c r="BN41" s="7"/>
      <c r="BO41" s="2"/>
      <c r="BP41" s="2"/>
      <c r="BQ41" s="2"/>
      <c r="BR41" s="2"/>
    </row>
    <row r="42" spans="2:70" ht="18.75" customHeight="1" x14ac:dyDescent="0.25">
      <c r="B42" s="8" t="s">
        <v>238</v>
      </c>
      <c r="C42" s="3" t="s">
        <v>239</v>
      </c>
      <c r="D42" s="3" t="s">
        <v>225</v>
      </c>
      <c r="E42" s="5" t="s">
        <v>226</v>
      </c>
      <c r="F42" s="5" t="s">
        <v>221</v>
      </c>
      <c r="G42" s="6" t="str">
        <f ca="1">IFERROR(__xludf.DUMMYFUNCTION("GOOGLETRANSLATE(B42,""ja"",""ko"")"),"테이크 아웃 부카케")</f>
        <v>테이크 아웃 부카케</v>
      </c>
      <c r="H42" s="6"/>
      <c r="I42" s="7" t="str">
        <f ca="1">IFERROR(__xludf.DUMMYFUNCTION("GOOGLETRANSLATE(B42,""ja"",""zh"")"),"外卖颜射超厚")</f>
        <v>外卖颜射超厚</v>
      </c>
      <c r="J42" s="7"/>
      <c r="K42" s="3" t="s">
        <v>239</v>
      </c>
      <c r="L42" s="3" t="s">
        <v>225</v>
      </c>
      <c r="M42" s="5" t="s">
        <v>226</v>
      </c>
      <c r="N42" s="5" t="s">
        <v>221</v>
      </c>
      <c r="O42" s="6" t="str">
        <f ca="1">IFERROR(__xludf.DUMMYFUNCTION("GOOGLETRANSLATE(B42,""ja"",""ko"")"),"테이크 아웃 부카케")</f>
        <v>테이크 아웃 부카케</v>
      </c>
      <c r="P42" s="6"/>
      <c r="Q42" s="7" t="str">
        <f ca="1">IFERROR(__xludf.DUMMYFUNCTION("GOOGLETRANSLATE(B42,""ja"",""zh"")"),"外卖颜射超厚")</f>
        <v>外卖颜射超厚</v>
      </c>
      <c r="R42" s="7"/>
      <c r="S42" s="3" t="s">
        <v>240</v>
      </c>
      <c r="T42" s="5" t="str">
        <f ca="1">IFERROR(__xludf.DUMMYFUNCTION("GOOGLETRANSLATE(S42,""ja"",""en"")"),"TO bukkake extra thick")</f>
        <v>TO bukkake extra thick</v>
      </c>
      <c r="U42" s="6" t="str">
        <f ca="1">IFERROR(__xludf.DUMMYFUNCTION("GOOGLETRANSLATE(S42,""ja"",""ko"")"),"TO 부카케 극태")</f>
        <v>TO 부카케 극태</v>
      </c>
      <c r="V42" s="7" t="str">
        <f ca="1">IFERROR(__xludf.DUMMYFUNCTION("GOOGLETRANSLATE(S42,""ja"",""zh"")"),"TO 颜射超厚")</f>
        <v>TO 颜射超厚</v>
      </c>
      <c r="W42" s="3" t="s">
        <v>228</v>
      </c>
      <c r="X42" s="5" t="str">
        <f ca="1">IFERROR(__xludf.DUMMYFUNCTION("GOOGLETRANSLATE(W42,""ja"",""en"")"),"green onion")</f>
        <v>green onion</v>
      </c>
      <c r="Y42" s="6" t="str">
        <f ca="1">IFERROR(__xludf.DUMMYFUNCTION("GOOGLETRANSLATE(W42,""ja"",""ko"")"),"파")</f>
        <v>파</v>
      </c>
      <c r="Z42" s="7" t="str">
        <f ca="1">IFERROR(__xludf.DUMMYFUNCTION("GOOGLETRANSLATE(W42,""ja"",""zh"")"),"葱")</f>
        <v>葱</v>
      </c>
      <c r="AA42" s="3" t="s">
        <v>229</v>
      </c>
      <c r="AB42" s="5" t="str">
        <f ca="1">IFERROR(__xludf.DUMMYFUNCTION("GOOGLETRANSLATE(AA42,""ja"",""en"")"),"can be")</f>
        <v>can be</v>
      </c>
      <c r="AC42" s="6" t="str">
        <f ca="1">IFERROR(__xludf.DUMMYFUNCTION("GOOGLETRANSLATE(AA42,""ja"",""ko"")"),"예")</f>
        <v>예</v>
      </c>
      <c r="AD42" s="7" t="str">
        <f ca="1">IFERROR(__xludf.DUMMYFUNCTION("GOOGLETRANSLATE(AA42,""ja"",""zh"")"),"可以是")</f>
        <v>可以是</v>
      </c>
      <c r="AE42" s="3" t="s">
        <v>230</v>
      </c>
      <c r="AF42" s="5" t="str">
        <f ca="1">IFERROR(__xludf.DUMMYFUNCTION("GOOGLETRANSLATE(AE42,""ja"",""en"")"),"none")</f>
        <v>none</v>
      </c>
      <c r="AG42" s="6" t="str">
        <f ca="1">IFERROR(__xludf.DUMMYFUNCTION("GOOGLETRANSLATE(AE42,""ja"",""ko"")"),"없음")</f>
        <v>없음</v>
      </c>
      <c r="AH42" s="7" t="str">
        <f ca="1">IFERROR(__xludf.DUMMYFUNCTION("GOOGLETRANSLATE(AE42,""ja"",""zh"")"),"没有任何")</f>
        <v>没有任何</v>
      </c>
      <c r="AI42" s="2"/>
      <c r="AJ42" s="2"/>
      <c r="AK42" s="2"/>
      <c r="AL42" s="2"/>
      <c r="AM42" s="3" t="s">
        <v>231</v>
      </c>
      <c r="AN42" s="5"/>
      <c r="AO42" s="6"/>
      <c r="AP42" s="7"/>
      <c r="AQ42" s="3" t="s">
        <v>229</v>
      </c>
      <c r="AR42" s="5"/>
      <c r="AS42" s="6"/>
      <c r="AT42" s="7"/>
      <c r="AU42" s="3" t="s">
        <v>230</v>
      </c>
      <c r="AV42" s="5"/>
      <c r="AW42" s="6"/>
      <c r="AX42" s="7"/>
      <c r="AY42" s="2"/>
      <c r="AZ42" s="2"/>
      <c r="BA42" s="2"/>
      <c r="BB42" s="2"/>
      <c r="BC42" s="3" t="s">
        <v>232</v>
      </c>
      <c r="BD42" s="5"/>
      <c r="BE42" s="6"/>
      <c r="BF42" s="7"/>
      <c r="BG42" s="3" t="s">
        <v>229</v>
      </c>
      <c r="BH42" s="5"/>
      <c r="BI42" s="6"/>
      <c r="BJ42" s="7"/>
      <c r="BK42" s="3" t="s">
        <v>230</v>
      </c>
      <c r="BL42" s="5"/>
      <c r="BM42" s="6"/>
      <c r="BN42" s="7"/>
      <c r="BO42" s="2"/>
      <c r="BP42" s="2"/>
      <c r="BQ42" s="2"/>
      <c r="BR42" s="2"/>
    </row>
    <row r="43" spans="2:70" ht="18.75" customHeight="1" x14ac:dyDescent="0.25">
      <c r="B43" s="8" t="s">
        <v>241</v>
      </c>
      <c r="C43" s="3" t="s">
        <v>242</v>
      </c>
      <c r="D43" s="3" t="s">
        <v>243</v>
      </c>
      <c r="E43" s="5" t="s">
        <v>226</v>
      </c>
      <c r="F43" s="5" t="s">
        <v>244</v>
      </c>
      <c r="G43" s="6" t="str">
        <f ca="1">IFERROR(__xludf.DUMMYFUNCTION("GOOGLETRANSLATE(B43,""ja"",""ko"")"),"테이크 아웃 부카케 블루 노리")</f>
        <v>테이크 아웃 부카케 블루 노리</v>
      </c>
      <c r="H43" s="6"/>
      <c r="I43" s="7" t="str">
        <f ca="1">IFERROR(__xludf.DUMMYFUNCTION("GOOGLETRANSLATE(B43,""ja"",""zh"")"),"外卖颜射青海")</f>
        <v>外卖颜射青海</v>
      </c>
      <c r="J43" s="7"/>
      <c r="K43" s="3" t="s">
        <v>245</v>
      </c>
      <c r="L43" s="3" t="s">
        <v>243</v>
      </c>
      <c r="M43" s="5" t="s">
        <v>226</v>
      </c>
      <c r="N43" s="5" t="s">
        <v>244</v>
      </c>
      <c r="O43" s="6" t="str">
        <f ca="1">IFERROR(__xludf.DUMMYFUNCTION("GOOGLETRANSLATE(B43,""ja"",""ko"")"),"테이크 아웃 부카케 블루 노리")</f>
        <v>테이크 아웃 부카케 블루 노리</v>
      </c>
      <c r="P43" s="6"/>
      <c r="Q43" s="7" t="str">
        <f ca="1">IFERROR(__xludf.DUMMYFUNCTION("GOOGLETRANSLATE(B43,""ja"",""zh"")"),"外卖颜射青海")</f>
        <v>外卖颜射青海</v>
      </c>
      <c r="R43" s="7"/>
      <c r="S43" s="3" t="s">
        <v>242</v>
      </c>
      <c r="T43" s="5" t="str">
        <f ca="1">IFERROR(__xludf.DUMMYFUNCTION("GOOGLETRANSLATE(S43,""ja"",""en"")"),"Takeout Aonori")</f>
        <v>Takeout Aonori</v>
      </c>
      <c r="U43" s="6" t="str">
        <f ca="1">IFERROR(__xludf.DUMMYFUNCTION("GOOGLETRANSLATE(S43,""ja"",""ko"")"),"테이크 아웃 블루 노리")</f>
        <v>테이크 아웃 블루 노리</v>
      </c>
      <c r="V43" s="7" t="str">
        <f ca="1">IFERROR(__xludf.DUMMYFUNCTION("GOOGLETRANSLATE(S43,""ja"",""zh"")"),"外卖青典")</f>
        <v>外卖青典</v>
      </c>
      <c r="W43" s="3" t="s">
        <v>228</v>
      </c>
      <c r="X43" s="5" t="str">
        <f ca="1">IFERROR(__xludf.DUMMYFUNCTION("GOOGLETRANSLATE(W43,""ja"",""en"")"),"green onion")</f>
        <v>green onion</v>
      </c>
      <c r="Y43" s="6" t="str">
        <f ca="1">IFERROR(__xludf.DUMMYFUNCTION("GOOGLETRANSLATE(W43,""ja"",""ko"")"),"파")</f>
        <v>파</v>
      </c>
      <c r="Z43" s="7" t="str">
        <f ca="1">IFERROR(__xludf.DUMMYFUNCTION("GOOGLETRANSLATE(W43,""ja"",""zh"")"),"葱")</f>
        <v>葱</v>
      </c>
      <c r="AA43" s="3" t="s">
        <v>229</v>
      </c>
      <c r="AB43" s="5" t="str">
        <f ca="1">IFERROR(__xludf.DUMMYFUNCTION("GOOGLETRANSLATE(AA43,""ja"",""en"")"),"can be")</f>
        <v>can be</v>
      </c>
      <c r="AC43" s="6" t="str">
        <f ca="1">IFERROR(__xludf.DUMMYFUNCTION("GOOGLETRANSLATE(AA43,""ja"",""ko"")"),"예")</f>
        <v>예</v>
      </c>
      <c r="AD43" s="7" t="str">
        <f ca="1">IFERROR(__xludf.DUMMYFUNCTION("GOOGLETRANSLATE(AA43,""ja"",""zh"")"),"可以是")</f>
        <v>可以是</v>
      </c>
      <c r="AE43" s="3" t="s">
        <v>230</v>
      </c>
      <c r="AF43" s="5" t="str">
        <f ca="1">IFERROR(__xludf.DUMMYFUNCTION("GOOGLETRANSLATE(AE43,""ja"",""en"")"),"none")</f>
        <v>none</v>
      </c>
      <c r="AG43" s="6" t="str">
        <f ca="1">IFERROR(__xludf.DUMMYFUNCTION("GOOGLETRANSLATE(AE43,""ja"",""ko"")"),"없음")</f>
        <v>없음</v>
      </c>
      <c r="AH43" s="7" t="str">
        <f ca="1">IFERROR(__xludf.DUMMYFUNCTION("GOOGLETRANSLATE(AE43,""ja"",""zh"")"),"没有任何")</f>
        <v>没有任何</v>
      </c>
      <c r="AI43" s="2"/>
      <c r="AJ43" s="2"/>
      <c r="AK43" s="2"/>
      <c r="AL43" s="2"/>
      <c r="AM43" s="3" t="s">
        <v>231</v>
      </c>
      <c r="AN43" s="5"/>
      <c r="AO43" s="6"/>
      <c r="AP43" s="7"/>
      <c r="AQ43" s="3" t="s">
        <v>229</v>
      </c>
      <c r="AR43" s="5"/>
      <c r="AS43" s="6"/>
      <c r="AT43" s="7"/>
      <c r="AU43" s="3" t="s">
        <v>230</v>
      </c>
      <c r="AV43" s="5"/>
      <c r="AW43" s="6"/>
      <c r="AX43" s="7"/>
      <c r="AY43" s="2"/>
      <c r="AZ43" s="2"/>
      <c r="BA43" s="2"/>
      <c r="BB43" s="2"/>
      <c r="BC43" s="3" t="s">
        <v>232</v>
      </c>
      <c r="BD43" s="5"/>
      <c r="BE43" s="6"/>
      <c r="BF43" s="7"/>
      <c r="BG43" s="3" t="s">
        <v>229</v>
      </c>
      <c r="BH43" s="5"/>
      <c r="BI43" s="6"/>
      <c r="BJ43" s="7"/>
      <c r="BK43" s="3" t="s">
        <v>230</v>
      </c>
      <c r="BL43" s="5"/>
      <c r="BM43" s="6"/>
      <c r="BN43" s="7"/>
      <c r="BO43" s="2"/>
      <c r="BP43" s="2"/>
      <c r="BQ43" s="2"/>
      <c r="BR43" s="2"/>
    </row>
    <row r="44" spans="2:70" ht="18.75" customHeight="1" x14ac:dyDescent="0.25">
      <c r="B44" s="8" t="s">
        <v>246</v>
      </c>
      <c r="C44" s="3" t="s">
        <v>246</v>
      </c>
      <c r="D44" s="3"/>
      <c r="E44" s="5" t="s">
        <v>247</v>
      </c>
      <c r="F44" s="5" t="s">
        <v>248</v>
      </c>
      <c r="G44" s="6" t="str">
        <f ca="1">IFERROR(__xludf.DUMMYFUNCTION("GOOGLETRANSLATE(B44,""ja"",""ko"")"),"0.5 구슬 추가 극태")</f>
        <v>0.5 구슬 추가 극태</v>
      </c>
      <c r="H44" s="6"/>
      <c r="I44" s="7" t="str">
        <f ca="1">IFERROR(__xludf.DUMMYFUNCTION("GOOGLETRANSLATE(B44,""ja"",""zh"")"),"0.5 球加厚")</f>
        <v>0.5 球加厚</v>
      </c>
      <c r="J44" s="7"/>
      <c r="K44" s="3" t="s">
        <v>246</v>
      </c>
      <c r="L44" s="3"/>
      <c r="M44" s="5" t="s">
        <v>247</v>
      </c>
      <c r="N44" s="5" t="s">
        <v>248</v>
      </c>
      <c r="O44" s="6" t="str">
        <f ca="1">IFERROR(__xludf.DUMMYFUNCTION("GOOGLETRANSLATE(B44,""ja"",""ko"")"),"0.5 구슬 추가 극태")</f>
        <v>0.5 구슬 추가 극태</v>
      </c>
      <c r="P44" s="6"/>
      <c r="Q44" s="7" t="str">
        <f ca="1">IFERROR(__xludf.DUMMYFUNCTION("GOOGLETRANSLATE(B44,""ja"",""zh"")"),"0.5 球加厚")</f>
        <v>0.5 球加厚</v>
      </c>
      <c r="R44" s="7"/>
      <c r="S44" s="3" t="s">
        <v>249</v>
      </c>
      <c r="T44" s="5" t="str">
        <f ca="1">IFERROR(__xludf.DUMMYFUNCTION("GOOGLETRANSLATE(S44,""ja"",""en"")"),"0.5 ball extra thick")</f>
        <v>0.5 ball extra thick</v>
      </c>
      <c r="U44" s="6" t="str">
        <f ca="1">IFERROR(__xludf.DUMMYFUNCTION("GOOGLETRANSLATE(S44,""ja"",""ko"")"),"0.5 구슬 극태")</f>
        <v>0.5 구슬 극태</v>
      </c>
      <c r="V44" s="7" t="str">
        <f ca="1">IFERROR(__xludf.DUMMYFUNCTION("GOOGLETRANSLATE(S44,""ja"",""zh"")"),"0.5球特厚")</f>
        <v>0.5球特厚</v>
      </c>
      <c r="W44" s="3"/>
      <c r="X44" s="5"/>
      <c r="Y44" s="6"/>
      <c r="Z44" s="7"/>
      <c r="AA44" s="3"/>
      <c r="AB44" s="5"/>
      <c r="AC44" s="6"/>
      <c r="AD44" s="7"/>
      <c r="AE44" s="3"/>
      <c r="AF44" s="5"/>
      <c r="AG44" s="6"/>
      <c r="AH44" s="7"/>
      <c r="AI44" s="2"/>
      <c r="AJ44" s="2"/>
      <c r="AK44" s="2"/>
      <c r="AL44" s="2"/>
      <c r="AM44" s="3"/>
      <c r="AN44" s="5"/>
      <c r="AO44" s="6"/>
      <c r="AP44" s="7"/>
      <c r="AQ44" s="3"/>
      <c r="AR44" s="5"/>
      <c r="AS44" s="6"/>
      <c r="AT44" s="7"/>
      <c r="AU44" s="3"/>
      <c r="AV44" s="5"/>
      <c r="AW44" s="6"/>
      <c r="AX44" s="7"/>
      <c r="AY44" s="2"/>
      <c r="AZ44" s="2"/>
      <c r="BA44" s="2"/>
      <c r="BB44" s="2"/>
      <c r="BC44" s="3"/>
      <c r="BD44" s="5"/>
      <c r="BE44" s="6"/>
      <c r="BF44" s="7"/>
      <c r="BG44" s="3"/>
      <c r="BH44" s="5"/>
      <c r="BI44" s="6"/>
      <c r="BJ44" s="7"/>
      <c r="BK44" s="3"/>
      <c r="BL44" s="5"/>
      <c r="BM44" s="6"/>
      <c r="BN44" s="7"/>
      <c r="BO44" s="2"/>
      <c r="BP44" s="2"/>
      <c r="BQ44" s="2"/>
      <c r="BR44" s="2"/>
    </row>
    <row r="45" spans="2:70" ht="18.75" customHeight="1" x14ac:dyDescent="0.25">
      <c r="B45" s="8" t="s">
        <v>250</v>
      </c>
      <c r="C45" s="3" t="s">
        <v>250</v>
      </c>
      <c r="D45" s="3"/>
      <c r="E45" s="5" t="s">
        <v>251</v>
      </c>
      <c r="F45" s="5" t="s">
        <v>248</v>
      </c>
      <c r="G45" s="6" t="str">
        <f ca="1">IFERROR(__xludf.DUMMYFUNCTION("GOOGLETRANSLATE(B45,""ja"",""ko"")"),"1 구슬 추가 극단")</f>
        <v>1 구슬 추가 극단</v>
      </c>
      <c r="H45" s="6"/>
      <c r="I45" s="7" t="str">
        <f ca="1">IFERROR(__xludf.DUMMYFUNCTION("GOOGLETRANSLATE(B45,""ja"",""zh"")"),"1 个球加厚")</f>
        <v>1 个球加厚</v>
      </c>
      <c r="J45" s="7"/>
      <c r="K45" s="3" t="s">
        <v>250</v>
      </c>
      <c r="L45" s="3"/>
      <c r="M45" s="5" t="s">
        <v>251</v>
      </c>
      <c r="N45" s="5" t="s">
        <v>248</v>
      </c>
      <c r="O45" s="6" t="str">
        <f ca="1">IFERROR(__xludf.DUMMYFUNCTION("GOOGLETRANSLATE(B45,""ja"",""ko"")"),"1 구슬 추가 극단")</f>
        <v>1 구슬 추가 극단</v>
      </c>
      <c r="P45" s="6"/>
      <c r="Q45" s="7" t="str">
        <f ca="1">IFERROR(__xludf.DUMMYFUNCTION("GOOGLETRANSLATE(B45,""ja"",""zh"")"),"1 个球加厚")</f>
        <v>1 个球加厚</v>
      </c>
      <c r="R45" s="7"/>
      <c r="S45" s="3" t="s">
        <v>252</v>
      </c>
      <c r="T45" s="5" t="str">
        <f ca="1">IFERROR(__xludf.DUMMYFUNCTION("GOOGLETRANSLATE(S45,""ja"",""en"")"),"1 ball extra thick")</f>
        <v>1 ball extra thick</v>
      </c>
      <c r="U45" s="6" t="str">
        <f ca="1">IFERROR(__xludf.DUMMYFUNCTION("GOOGLETRANSLATE(S45,""ja"",""ko"")"),"1 구슬 극태")</f>
        <v>1 구슬 극태</v>
      </c>
      <c r="V45" s="7" t="str">
        <f ca="1">IFERROR(__xludf.DUMMYFUNCTION("GOOGLETRANSLATE(S45,""ja"",""zh"")"),"1 个超厚球")</f>
        <v>1 个超厚球</v>
      </c>
      <c r="W45" s="3"/>
      <c r="X45" s="5"/>
      <c r="Y45" s="6"/>
      <c r="Z45" s="7"/>
      <c r="AA45" s="3"/>
      <c r="AB45" s="5"/>
      <c r="AC45" s="6"/>
      <c r="AD45" s="7"/>
      <c r="AE45" s="3"/>
      <c r="AF45" s="5"/>
      <c r="AG45" s="6"/>
      <c r="AH45" s="7"/>
      <c r="AI45" s="2"/>
      <c r="AJ45" s="2"/>
      <c r="AK45" s="2"/>
      <c r="AL45" s="2"/>
      <c r="AM45" s="3"/>
      <c r="AN45" s="5"/>
      <c r="AO45" s="6"/>
      <c r="AP45" s="7"/>
      <c r="AQ45" s="3"/>
      <c r="AR45" s="5"/>
      <c r="AS45" s="6"/>
      <c r="AT45" s="7"/>
      <c r="AU45" s="3"/>
      <c r="AV45" s="5"/>
      <c r="AW45" s="6"/>
      <c r="AX45" s="7"/>
      <c r="AY45" s="2"/>
      <c r="AZ45" s="2"/>
      <c r="BA45" s="2"/>
      <c r="BB45" s="2"/>
      <c r="BC45" s="3"/>
      <c r="BD45" s="5"/>
      <c r="BE45" s="6"/>
      <c r="BF45" s="7"/>
      <c r="BG45" s="3"/>
      <c r="BH45" s="5"/>
      <c r="BI45" s="6"/>
      <c r="BJ45" s="7"/>
      <c r="BK45" s="3"/>
      <c r="BL45" s="5"/>
      <c r="BM45" s="6"/>
      <c r="BN45" s="7"/>
      <c r="BO45" s="2"/>
      <c r="BP45" s="2"/>
      <c r="BQ45" s="2"/>
      <c r="BR45" s="2"/>
    </row>
    <row r="46" spans="2:70" ht="18.75" customHeight="1" x14ac:dyDescent="0.25">
      <c r="B46" s="8" t="s">
        <v>246</v>
      </c>
      <c r="C46" s="3" t="s">
        <v>246</v>
      </c>
      <c r="D46" s="3"/>
      <c r="E46" s="5" t="s">
        <v>247</v>
      </c>
      <c r="F46" s="5" t="s">
        <v>248</v>
      </c>
      <c r="G46" s="6" t="str">
        <f ca="1">IFERROR(__xludf.DUMMYFUNCTION("GOOGLETRANSLATE(B46,""ja"",""ko"")"),"0.5 구슬 추가 극태")</f>
        <v>0.5 구슬 추가 극태</v>
      </c>
      <c r="H46" s="6"/>
      <c r="I46" s="7" t="str">
        <f ca="1">IFERROR(__xludf.DUMMYFUNCTION("GOOGLETRANSLATE(B46,""ja"",""zh"")"),"0.5 球加厚")</f>
        <v>0.5 球加厚</v>
      </c>
      <c r="J46" s="7"/>
      <c r="K46" s="3" t="s">
        <v>246</v>
      </c>
      <c r="L46" s="3"/>
      <c r="M46" s="5" t="s">
        <v>247</v>
      </c>
      <c r="N46" s="5" t="s">
        <v>248</v>
      </c>
      <c r="O46" s="6" t="str">
        <f ca="1">IFERROR(__xludf.DUMMYFUNCTION("GOOGLETRANSLATE(B46,""ja"",""ko"")"),"0.5 구슬 추가 극태")</f>
        <v>0.5 구슬 추가 극태</v>
      </c>
      <c r="P46" s="6"/>
      <c r="Q46" s="7" t="str">
        <f ca="1">IFERROR(__xludf.DUMMYFUNCTION("GOOGLETRANSLATE(B46,""ja"",""zh"")"),"0.5 球加厚")</f>
        <v>0.5 球加厚</v>
      </c>
      <c r="R46" s="7"/>
      <c r="S46" s="3" t="s">
        <v>249</v>
      </c>
      <c r="T46" s="5" t="str">
        <f ca="1">IFERROR(__xludf.DUMMYFUNCTION("GOOGLETRANSLATE(S46,""ja"",""en"")"),"0.5 ball extra thick")</f>
        <v>0.5 ball extra thick</v>
      </c>
      <c r="U46" s="6" t="str">
        <f ca="1">IFERROR(__xludf.DUMMYFUNCTION("GOOGLETRANSLATE(S46,""ja"",""ko"")"),"0.5 구슬 극태")</f>
        <v>0.5 구슬 극태</v>
      </c>
      <c r="V46" s="7" t="str">
        <f ca="1">IFERROR(__xludf.DUMMYFUNCTION("GOOGLETRANSLATE(S46,""ja"",""zh"")"),"0.5球特厚")</f>
        <v>0.5球特厚</v>
      </c>
      <c r="W46" s="3"/>
      <c r="X46" s="5"/>
      <c r="Y46" s="6"/>
      <c r="Z46" s="7"/>
      <c r="AA46" s="3"/>
      <c r="AB46" s="5"/>
      <c r="AC46" s="6"/>
      <c r="AD46" s="7"/>
      <c r="AE46" s="3"/>
      <c r="AF46" s="5"/>
      <c r="AG46" s="6"/>
      <c r="AH46" s="7"/>
      <c r="AI46" s="2"/>
      <c r="AJ46" s="2"/>
      <c r="AK46" s="2"/>
      <c r="AL46" s="2"/>
      <c r="AM46" s="3"/>
      <c r="AN46" s="5"/>
      <c r="AO46" s="6"/>
      <c r="AP46" s="7"/>
      <c r="AQ46" s="3"/>
      <c r="AR46" s="5"/>
      <c r="AS46" s="6"/>
      <c r="AT46" s="7"/>
      <c r="AU46" s="3"/>
      <c r="AV46" s="5"/>
      <c r="AW46" s="6"/>
      <c r="AX46" s="7"/>
      <c r="AY46" s="2"/>
      <c r="AZ46" s="2"/>
      <c r="BA46" s="2"/>
      <c r="BB46" s="2"/>
      <c r="BC46" s="3"/>
      <c r="BD46" s="5"/>
      <c r="BE46" s="6"/>
      <c r="BF46" s="7"/>
      <c r="BG46" s="3"/>
      <c r="BH46" s="5"/>
      <c r="BI46" s="6"/>
      <c r="BJ46" s="7"/>
      <c r="BK46" s="3"/>
      <c r="BL46" s="5"/>
      <c r="BM46" s="6"/>
      <c r="BN46" s="7"/>
      <c r="BO46" s="2"/>
      <c r="BP46" s="2"/>
      <c r="BQ46" s="2"/>
      <c r="BR46" s="2"/>
    </row>
    <row r="47" spans="2:70" ht="18.75" customHeight="1" x14ac:dyDescent="0.25">
      <c r="B47" s="8" t="s">
        <v>253</v>
      </c>
      <c r="C47" s="3" t="s">
        <v>253</v>
      </c>
      <c r="D47" s="3"/>
      <c r="E47" s="5" t="s">
        <v>251</v>
      </c>
      <c r="F47" s="5" t="s">
        <v>248</v>
      </c>
      <c r="G47" s="6" t="str">
        <f ca="1">IFERROR(__xludf.DUMMYFUNCTION("GOOGLETRANSLATE(B47,""ja"",""ko"")"),"1 구슬 추가 극태")</f>
        <v>1 구슬 추가 극태</v>
      </c>
      <c r="H47" s="6"/>
      <c r="I47" s="7" t="str">
        <f ca="1">IFERROR(__xludf.DUMMYFUNCTION("GOOGLETRANSLATE(B47,""ja"",""zh"")"),"1 个球加厚")</f>
        <v>1 个球加厚</v>
      </c>
      <c r="J47" s="7"/>
      <c r="K47" s="3" t="s">
        <v>253</v>
      </c>
      <c r="L47" s="3"/>
      <c r="M47" s="5" t="s">
        <v>251</v>
      </c>
      <c r="N47" s="5" t="s">
        <v>248</v>
      </c>
      <c r="O47" s="6" t="str">
        <f ca="1">IFERROR(__xludf.DUMMYFUNCTION("GOOGLETRANSLATE(B47,""ja"",""ko"")"),"1 구슬 추가 극태")</f>
        <v>1 구슬 추가 극태</v>
      </c>
      <c r="P47" s="6"/>
      <c r="Q47" s="7" t="str">
        <f ca="1">IFERROR(__xludf.DUMMYFUNCTION("GOOGLETRANSLATE(B47,""ja"",""zh"")"),"1 个球加厚")</f>
        <v>1 个球加厚</v>
      </c>
      <c r="R47" s="7"/>
      <c r="S47" s="3" t="s">
        <v>254</v>
      </c>
      <c r="T47" s="5" t="str">
        <f ca="1">IFERROR(__xludf.DUMMYFUNCTION("GOOGLETRANSLATE(S47,""ja"",""en"")"),"1 ball extra thick")</f>
        <v>1 ball extra thick</v>
      </c>
      <c r="U47" s="6" t="str">
        <f ca="1">IFERROR(__xludf.DUMMYFUNCTION("GOOGLETRANSLATE(S47,""ja"",""ko"")"),"1 구슬 극태")</f>
        <v>1 구슬 극태</v>
      </c>
      <c r="V47" s="7" t="str">
        <f ca="1">IFERROR(__xludf.DUMMYFUNCTION("GOOGLETRANSLATE(S47,""ja"",""zh"")"),"1 个超厚球")</f>
        <v>1 个超厚球</v>
      </c>
      <c r="W47" s="3"/>
      <c r="X47" s="5"/>
      <c r="Y47" s="6"/>
      <c r="Z47" s="7"/>
      <c r="AA47" s="3"/>
      <c r="AB47" s="5"/>
      <c r="AC47" s="6"/>
      <c r="AD47" s="7"/>
      <c r="AE47" s="3"/>
      <c r="AF47" s="5"/>
      <c r="AG47" s="6"/>
      <c r="AH47" s="7"/>
      <c r="AI47" s="2"/>
      <c r="AJ47" s="2"/>
      <c r="AK47" s="2"/>
      <c r="AL47" s="2"/>
      <c r="AM47" s="3"/>
      <c r="AN47" s="5"/>
      <c r="AO47" s="6"/>
      <c r="AP47" s="7"/>
      <c r="AQ47" s="3"/>
      <c r="AR47" s="5"/>
      <c r="AS47" s="6"/>
      <c r="AT47" s="7"/>
      <c r="AU47" s="3"/>
      <c r="AV47" s="5"/>
      <c r="AW47" s="6"/>
      <c r="AX47" s="7"/>
      <c r="AY47" s="2"/>
      <c r="AZ47" s="2"/>
      <c r="BA47" s="2"/>
      <c r="BB47" s="2"/>
      <c r="BC47" s="3"/>
      <c r="BD47" s="5"/>
      <c r="BE47" s="6"/>
      <c r="BF47" s="7"/>
      <c r="BG47" s="3"/>
      <c r="BH47" s="5"/>
      <c r="BI47" s="6"/>
      <c r="BJ47" s="7"/>
      <c r="BK47" s="3"/>
      <c r="BL47" s="5"/>
      <c r="BM47" s="6"/>
      <c r="BN47" s="7"/>
      <c r="BO47" s="2"/>
      <c r="BP47" s="2"/>
      <c r="BQ47" s="2"/>
      <c r="BR47" s="2"/>
    </row>
    <row r="48" spans="2:70" ht="18.75" customHeight="1" x14ac:dyDescent="0.25">
      <c r="B48" s="8" t="s">
        <v>255</v>
      </c>
      <c r="C48" s="3" t="s">
        <v>255</v>
      </c>
      <c r="D48" s="3"/>
      <c r="E48" s="5" t="s">
        <v>247</v>
      </c>
      <c r="F48" s="5" t="s">
        <v>256</v>
      </c>
      <c r="G48" s="6" t="str">
        <f ca="1">IFERROR(__xludf.DUMMYFUNCTION("GOOGLETRANSLATE(B48,""ja"",""ko"")"),"0.5 구슬 추가 푸른 김")</f>
        <v>0.5 구슬 추가 푸른 김</v>
      </c>
      <c r="H48" s="6"/>
      <c r="I48" s="7" t="str">
        <f ca="1">IFERROR(__xludf.DUMMYFUNCTION("GOOGLETRANSLATE(B48,""ja"",""zh"")"),"0.5球添加绿海藻")</f>
        <v>0.5球添加绿海藻</v>
      </c>
      <c r="J48" s="7"/>
      <c r="K48" s="3" t="s">
        <v>255</v>
      </c>
      <c r="L48" s="3"/>
      <c r="M48" s="5" t="s">
        <v>247</v>
      </c>
      <c r="N48" s="5" t="s">
        <v>256</v>
      </c>
      <c r="O48" s="6" t="str">
        <f ca="1">IFERROR(__xludf.DUMMYFUNCTION("GOOGLETRANSLATE(B48,""ja"",""ko"")"),"0.5 구슬 추가 푸른 김")</f>
        <v>0.5 구슬 추가 푸른 김</v>
      </c>
      <c r="P48" s="6"/>
      <c r="Q48" s="7" t="str">
        <f ca="1">IFERROR(__xludf.DUMMYFUNCTION("GOOGLETRANSLATE(B48,""ja"",""zh"")"),"0.5球添加绿海藻")</f>
        <v>0.5球添加绿海藻</v>
      </c>
      <c r="R48" s="7"/>
      <c r="S48" s="3" t="s">
        <v>257</v>
      </c>
      <c r="T48" s="5" t="str">
        <f ca="1">IFERROR(__xludf.DUMMYFUNCTION("GOOGLETRANSLATE(S48,""ja"",""en"")"),"0.5 ball green seaweed")</f>
        <v>0.5 ball green seaweed</v>
      </c>
      <c r="U48" s="6" t="str">
        <f ca="1">IFERROR(__xludf.DUMMYFUNCTION("GOOGLETRANSLATE(S48,""ja"",""ko"")"),"0.5 구슬 푸른 김")</f>
        <v>0.5 구슬 푸른 김</v>
      </c>
      <c r="V48" s="7" t="str">
        <f ca="1">IFERROR(__xludf.DUMMYFUNCTION("GOOGLETRANSLATE(S48,""ja"",""zh"")"),"0.5球绿海藻")</f>
        <v>0.5球绿海藻</v>
      </c>
      <c r="W48" s="3"/>
      <c r="X48" s="5"/>
      <c r="Y48" s="6"/>
      <c r="Z48" s="7"/>
      <c r="AA48" s="3"/>
      <c r="AB48" s="5"/>
      <c r="AC48" s="6"/>
      <c r="AD48" s="7"/>
      <c r="AE48" s="3"/>
      <c r="AF48" s="5"/>
      <c r="AG48" s="6"/>
      <c r="AH48" s="7"/>
      <c r="AI48" s="2"/>
      <c r="AJ48" s="2"/>
      <c r="AK48" s="2"/>
      <c r="AL48" s="2"/>
      <c r="AM48" s="3"/>
      <c r="AN48" s="5"/>
      <c r="AO48" s="6"/>
      <c r="AP48" s="7"/>
      <c r="AQ48" s="3"/>
      <c r="AR48" s="5"/>
      <c r="AS48" s="6"/>
      <c r="AT48" s="7"/>
      <c r="AU48" s="3"/>
      <c r="AV48" s="5"/>
      <c r="AW48" s="6"/>
      <c r="AX48" s="7"/>
      <c r="AY48" s="2"/>
      <c r="AZ48" s="2"/>
      <c r="BA48" s="2"/>
      <c r="BB48" s="2"/>
      <c r="BC48" s="3"/>
      <c r="BD48" s="5"/>
      <c r="BE48" s="6"/>
      <c r="BF48" s="7"/>
      <c r="BG48" s="3"/>
      <c r="BH48" s="5"/>
      <c r="BI48" s="6"/>
      <c r="BJ48" s="7"/>
      <c r="BK48" s="3"/>
      <c r="BL48" s="5"/>
      <c r="BM48" s="6"/>
      <c r="BN48" s="7"/>
      <c r="BO48" s="2"/>
      <c r="BP48" s="2"/>
      <c r="BQ48" s="2"/>
      <c r="BR48" s="2"/>
    </row>
    <row r="49" spans="2:70" ht="18.75" customHeight="1" x14ac:dyDescent="0.25">
      <c r="B49" s="8" t="s">
        <v>258</v>
      </c>
      <c r="C49" s="3" t="s">
        <v>258</v>
      </c>
      <c r="D49" s="3"/>
      <c r="E49" s="5" t="s">
        <v>251</v>
      </c>
      <c r="F49" s="5" t="s">
        <v>256</v>
      </c>
      <c r="G49" s="6" t="str">
        <f ca="1">IFERROR(__xludf.DUMMYFUNCTION("GOOGLETRANSLATE(B49,""ja"",""ko"")"),"1 구슬 추가 푸른 김")</f>
        <v>1 구슬 추가 푸른 김</v>
      </c>
      <c r="H49" s="6"/>
      <c r="I49" s="7" t="str">
        <f ca="1">IFERROR(__xludf.DUMMYFUNCTION("GOOGLETRANSLATE(B49,""ja"",""zh"")"),"1球额外的绿海藻")</f>
        <v>1球额外的绿海藻</v>
      </c>
      <c r="J49" s="7"/>
      <c r="K49" s="3" t="s">
        <v>258</v>
      </c>
      <c r="L49" s="3"/>
      <c r="M49" s="5" t="s">
        <v>251</v>
      </c>
      <c r="N49" s="5" t="s">
        <v>256</v>
      </c>
      <c r="O49" s="6" t="str">
        <f ca="1">IFERROR(__xludf.DUMMYFUNCTION("GOOGLETRANSLATE(B49,""ja"",""ko"")"),"1 구슬 추가 푸른 김")</f>
        <v>1 구슬 추가 푸른 김</v>
      </c>
      <c r="P49" s="6"/>
      <c r="Q49" s="7" t="str">
        <f ca="1">IFERROR(__xludf.DUMMYFUNCTION("GOOGLETRANSLATE(B49,""ja"",""zh"")"),"1球额外的绿海藻")</f>
        <v>1球额外的绿海藻</v>
      </c>
      <c r="R49" s="7"/>
      <c r="S49" s="3" t="s">
        <v>259</v>
      </c>
      <c r="T49" s="5" t="str">
        <f ca="1">IFERROR(__xludf.DUMMYFUNCTION("GOOGLETRANSLATE(S49,""ja"",""en"")"),"1 ball green seaweed")</f>
        <v>1 ball green seaweed</v>
      </c>
      <c r="U49" s="6" t="str">
        <f ca="1">IFERROR(__xludf.DUMMYFUNCTION("GOOGLETRANSLATE(S49,""ja"",""ko"")"),"1 구슬 푸른 김")</f>
        <v>1 구슬 푸른 김</v>
      </c>
      <c r="V49" s="7" t="str">
        <f ca="1">IFERROR(__xludf.DUMMYFUNCTION("GOOGLETRANSLATE(S49,""ja"",""zh"")"),"1 球绿海藻")</f>
        <v>1 球绿海藻</v>
      </c>
      <c r="W49" s="3"/>
      <c r="X49" s="5"/>
      <c r="Y49" s="6"/>
      <c r="Z49" s="7"/>
      <c r="AA49" s="3"/>
      <c r="AB49" s="5"/>
      <c r="AC49" s="6"/>
      <c r="AD49" s="7"/>
      <c r="AE49" s="3"/>
      <c r="AF49" s="5"/>
      <c r="AG49" s="6"/>
      <c r="AH49" s="7"/>
      <c r="AI49" s="2"/>
      <c r="AJ49" s="2"/>
      <c r="AK49" s="2"/>
      <c r="AL49" s="2"/>
      <c r="AM49" s="3"/>
      <c r="AN49" s="5"/>
      <c r="AO49" s="6"/>
      <c r="AP49" s="7"/>
      <c r="AQ49" s="3"/>
      <c r="AR49" s="5"/>
      <c r="AS49" s="6"/>
      <c r="AT49" s="7"/>
      <c r="AU49" s="3"/>
      <c r="AV49" s="5"/>
      <c r="AW49" s="6"/>
      <c r="AX49" s="7"/>
      <c r="AY49" s="2"/>
      <c r="AZ49" s="2"/>
      <c r="BA49" s="2"/>
      <c r="BB49" s="2"/>
      <c r="BC49" s="3"/>
      <c r="BD49" s="5"/>
      <c r="BE49" s="6"/>
      <c r="BF49" s="7"/>
      <c r="BG49" s="3"/>
      <c r="BH49" s="5"/>
      <c r="BI49" s="6"/>
      <c r="BJ49" s="7"/>
      <c r="BK49" s="3"/>
      <c r="BL49" s="5"/>
      <c r="BM49" s="6"/>
      <c r="BN49" s="7"/>
      <c r="BO49" s="2"/>
      <c r="BP49" s="2"/>
      <c r="BQ49" s="2"/>
      <c r="BR49" s="2"/>
    </row>
    <row r="50" spans="2:70" ht="18.75" customHeight="1" x14ac:dyDescent="0.25">
      <c r="B50" s="8" t="s">
        <v>255</v>
      </c>
      <c r="C50" s="3" t="s">
        <v>255</v>
      </c>
      <c r="D50" s="3"/>
      <c r="E50" s="5" t="s">
        <v>247</v>
      </c>
      <c r="F50" s="5" t="s">
        <v>256</v>
      </c>
      <c r="G50" s="6" t="str">
        <f ca="1">IFERROR(__xludf.DUMMYFUNCTION("GOOGLETRANSLATE(B50,""ja"",""ko"")"),"0.5 구슬 추가 푸른 김")</f>
        <v>0.5 구슬 추가 푸른 김</v>
      </c>
      <c r="H50" s="6"/>
      <c r="I50" s="7" t="str">
        <f ca="1">IFERROR(__xludf.DUMMYFUNCTION("GOOGLETRANSLATE(B50,""ja"",""zh"")"),"0.5球添加绿海藻")</f>
        <v>0.5球添加绿海藻</v>
      </c>
      <c r="J50" s="7"/>
      <c r="K50" s="3" t="s">
        <v>255</v>
      </c>
      <c r="L50" s="3"/>
      <c r="M50" s="5" t="s">
        <v>247</v>
      </c>
      <c r="N50" s="5" t="s">
        <v>256</v>
      </c>
      <c r="O50" s="6" t="str">
        <f ca="1">IFERROR(__xludf.DUMMYFUNCTION("GOOGLETRANSLATE(B50,""ja"",""ko"")"),"0.5 구슬 추가 푸른 김")</f>
        <v>0.5 구슬 추가 푸른 김</v>
      </c>
      <c r="P50" s="6"/>
      <c r="Q50" s="7" t="str">
        <f ca="1">IFERROR(__xludf.DUMMYFUNCTION("GOOGLETRANSLATE(B50,""ja"",""zh"")"),"0.5球添加绿海藻")</f>
        <v>0.5球添加绿海藻</v>
      </c>
      <c r="R50" s="7"/>
      <c r="S50" s="3" t="s">
        <v>257</v>
      </c>
      <c r="T50" s="5" t="str">
        <f ca="1">IFERROR(__xludf.DUMMYFUNCTION("GOOGLETRANSLATE(S50,""ja"",""en"")"),"0.5 ball green seaweed")</f>
        <v>0.5 ball green seaweed</v>
      </c>
      <c r="U50" s="6" t="str">
        <f ca="1">IFERROR(__xludf.DUMMYFUNCTION("GOOGLETRANSLATE(S50,""ja"",""ko"")"),"0.5 구슬 푸른 김")</f>
        <v>0.5 구슬 푸른 김</v>
      </c>
      <c r="V50" s="7" t="str">
        <f ca="1">IFERROR(__xludf.DUMMYFUNCTION("GOOGLETRANSLATE(S50,""ja"",""zh"")"),"0.5球绿海藻")</f>
        <v>0.5球绿海藻</v>
      </c>
      <c r="W50" s="3"/>
      <c r="X50" s="5"/>
      <c r="Y50" s="6"/>
      <c r="Z50" s="7"/>
      <c r="AA50" s="3"/>
      <c r="AB50" s="5"/>
      <c r="AC50" s="6"/>
      <c r="AD50" s="7"/>
      <c r="AE50" s="3"/>
      <c r="AF50" s="5"/>
      <c r="AG50" s="6"/>
      <c r="AH50" s="7"/>
      <c r="AI50" s="2"/>
      <c r="AJ50" s="2"/>
      <c r="AK50" s="2"/>
      <c r="AL50" s="2"/>
      <c r="AM50" s="3"/>
      <c r="AN50" s="5"/>
      <c r="AO50" s="6"/>
      <c r="AP50" s="7"/>
      <c r="AQ50" s="3"/>
      <c r="AR50" s="5"/>
      <c r="AS50" s="6"/>
      <c r="AT50" s="7"/>
      <c r="AU50" s="3"/>
      <c r="AV50" s="5"/>
      <c r="AW50" s="6"/>
      <c r="AX50" s="7"/>
      <c r="AY50" s="2"/>
      <c r="AZ50" s="2"/>
      <c r="BA50" s="2"/>
      <c r="BB50" s="2"/>
      <c r="BC50" s="3"/>
      <c r="BD50" s="5"/>
      <c r="BE50" s="6"/>
      <c r="BF50" s="7"/>
      <c r="BG50" s="3"/>
      <c r="BH50" s="5"/>
      <c r="BI50" s="6"/>
      <c r="BJ50" s="7"/>
      <c r="BK50" s="3"/>
      <c r="BL50" s="5"/>
      <c r="BM50" s="6"/>
      <c r="BN50" s="7"/>
      <c r="BO50" s="2"/>
      <c r="BP50" s="2"/>
      <c r="BQ50" s="2"/>
      <c r="BR50" s="2"/>
    </row>
    <row r="51" spans="2:70" ht="18.75" customHeight="1" x14ac:dyDescent="0.25">
      <c r="B51" s="8" t="s">
        <v>258</v>
      </c>
      <c r="C51" s="3" t="s">
        <v>258</v>
      </c>
      <c r="D51" s="3"/>
      <c r="E51" s="5" t="s">
        <v>251</v>
      </c>
      <c r="F51" s="5" t="s">
        <v>256</v>
      </c>
      <c r="G51" s="6" t="str">
        <f ca="1">IFERROR(__xludf.DUMMYFUNCTION("GOOGLETRANSLATE(B51,""ja"",""ko"")"),"1 구슬 추가 푸른 김")</f>
        <v>1 구슬 추가 푸른 김</v>
      </c>
      <c r="H51" s="6"/>
      <c r="I51" s="7" t="str">
        <f ca="1">IFERROR(__xludf.DUMMYFUNCTION("GOOGLETRANSLATE(B51,""ja"",""zh"")"),"1球额外的绿海藻")</f>
        <v>1球额外的绿海藻</v>
      </c>
      <c r="J51" s="7"/>
      <c r="K51" s="3" t="s">
        <v>258</v>
      </c>
      <c r="L51" s="3"/>
      <c r="M51" s="5" t="s">
        <v>251</v>
      </c>
      <c r="N51" s="5" t="s">
        <v>256</v>
      </c>
      <c r="O51" s="6" t="str">
        <f ca="1">IFERROR(__xludf.DUMMYFUNCTION("GOOGLETRANSLATE(B51,""ja"",""ko"")"),"1 구슬 추가 푸른 김")</f>
        <v>1 구슬 추가 푸른 김</v>
      </c>
      <c r="P51" s="6"/>
      <c r="Q51" s="7" t="str">
        <f ca="1">IFERROR(__xludf.DUMMYFUNCTION("GOOGLETRANSLATE(B51,""ja"",""zh"")"),"1球额外的绿海藻")</f>
        <v>1球额外的绿海藻</v>
      </c>
      <c r="R51" s="7"/>
      <c r="S51" s="3" t="s">
        <v>259</v>
      </c>
      <c r="T51" s="5" t="str">
        <f ca="1">IFERROR(__xludf.DUMMYFUNCTION("GOOGLETRANSLATE(S51,""ja"",""en"")"),"1 ball green seaweed")</f>
        <v>1 ball green seaweed</v>
      </c>
      <c r="U51" s="6" t="str">
        <f ca="1">IFERROR(__xludf.DUMMYFUNCTION("GOOGLETRANSLATE(S51,""ja"",""ko"")"),"1 구슬 푸른 김")</f>
        <v>1 구슬 푸른 김</v>
      </c>
      <c r="V51" s="7" t="str">
        <f ca="1">IFERROR(__xludf.DUMMYFUNCTION("GOOGLETRANSLATE(S51,""ja"",""zh"")"),"1 球绿海藻")</f>
        <v>1 球绿海藻</v>
      </c>
      <c r="W51" s="3"/>
      <c r="X51" s="5"/>
      <c r="Y51" s="6"/>
      <c r="Z51" s="7"/>
      <c r="AA51" s="3"/>
      <c r="AB51" s="5"/>
      <c r="AC51" s="6"/>
      <c r="AD51" s="7"/>
      <c r="AE51" s="3"/>
      <c r="AF51" s="5"/>
      <c r="AG51" s="6"/>
      <c r="AH51" s="7"/>
      <c r="AI51" s="2"/>
      <c r="AJ51" s="2"/>
      <c r="AK51" s="2"/>
      <c r="AL51" s="2"/>
      <c r="AM51" s="3"/>
      <c r="AN51" s="5"/>
      <c r="AO51" s="6"/>
      <c r="AP51" s="7"/>
      <c r="AQ51" s="3"/>
      <c r="AR51" s="5"/>
      <c r="AS51" s="6"/>
      <c r="AT51" s="7"/>
      <c r="AU51" s="3"/>
      <c r="AV51" s="5"/>
      <c r="AW51" s="6"/>
      <c r="AX51" s="7"/>
      <c r="AY51" s="2"/>
      <c r="AZ51" s="2"/>
      <c r="BA51" s="2"/>
      <c r="BB51" s="2"/>
      <c r="BC51" s="3"/>
      <c r="BD51" s="5"/>
      <c r="BE51" s="6"/>
      <c r="BF51" s="7"/>
      <c r="BG51" s="3"/>
      <c r="BH51" s="5"/>
      <c r="BI51" s="6"/>
      <c r="BJ51" s="7"/>
      <c r="BK51" s="3"/>
      <c r="BL51" s="5"/>
      <c r="BM51" s="6"/>
      <c r="BN51" s="7"/>
      <c r="BO51" s="2"/>
      <c r="BP51" s="2"/>
      <c r="BQ51" s="2"/>
      <c r="BR51" s="2"/>
    </row>
    <row r="52" spans="2:70" ht="18.75" customHeight="1" x14ac:dyDescent="0.25">
      <c r="B52" s="8" t="s">
        <v>260</v>
      </c>
      <c r="C52" s="3" t="s">
        <v>261</v>
      </c>
      <c r="D52" s="3"/>
      <c r="E52" s="5" t="s">
        <v>262</v>
      </c>
      <c r="F52" s="5" t="s">
        <v>263</v>
      </c>
      <c r="G52" s="6" t="str">
        <f ca="1">IFERROR(__xludf.DUMMYFUNCTION("GOOGLETRANSLATE(B52,""ja"",""ko"")"),"샐러드 우동 두꺼운")</f>
        <v>샐러드 우동 두꺼운</v>
      </c>
      <c r="H52" s="6"/>
      <c r="I52" s="7" t="str">
        <f ca="1">IFERROR(__xludf.DUMMYFUNCTION("GOOGLETRANSLATE(B52,""ja"",""zh"")"),"沙拉乌冬面特厚")</f>
        <v>沙拉乌冬面特厚</v>
      </c>
      <c r="J52" s="7"/>
      <c r="K52" s="3" t="s">
        <v>261</v>
      </c>
      <c r="L52" s="3"/>
      <c r="M52" s="5" t="s">
        <v>262</v>
      </c>
      <c r="N52" s="5" t="s">
        <v>263</v>
      </c>
      <c r="O52" s="6" t="str">
        <f ca="1">IFERROR(__xludf.DUMMYFUNCTION("GOOGLETRANSLATE(B52,""ja"",""ko"")"),"샐러드 우동 두꺼운")</f>
        <v>샐러드 우동 두꺼운</v>
      </c>
      <c r="P52" s="6"/>
      <c r="Q52" s="7" t="str">
        <f ca="1">IFERROR(__xludf.DUMMYFUNCTION("GOOGLETRANSLATE(B52,""ja"",""zh"")"),"沙拉乌冬面特厚")</f>
        <v>沙拉乌冬面特厚</v>
      </c>
      <c r="R52" s="7"/>
      <c r="S52" s="3" t="s">
        <v>261</v>
      </c>
      <c r="T52" s="5" t="str">
        <f ca="1">IFERROR(__xludf.DUMMYFUNCTION("GOOGLETRANSLATE(S52,""ja"",""en"")"),"Salad udon extra thick")</f>
        <v>Salad udon extra thick</v>
      </c>
      <c r="U52" s="6" t="str">
        <f ca="1">IFERROR(__xludf.DUMMYFUNCTION("GOOGLETRANSLATE(S52,""ja"",""ko"")"),"샐러드 우동 두꺼운")</f>
        <v>샐러드 우동 두꺼운</v>
      </c>
      <c r="V52" s="7" t="str">
        <f ca="1">IFERROR(__xludf.DUMMYFUNCTION("GOOGLETRANSLATE(S52,""ja"",""zh"")"),"沙拉乌冬面特厚")</f>
        <v>沙拉乌冬面特厚</v>
      </c>
      <c r="W52" s="3" t="s">
        <v>264</v>
      </c>
      <c r="X52" s="5" t="str">
        <f ca="1">IFERROR(__xludf.DUMMYFUNCTION("GOOGLETRANSLATE(W52,""ja"",""en"")"),"dressing")</f>
        <v>dressing</v>
      </c>
      <c r="Y52" s="6" t="str">
        <f ca="1">IFERROR(__xludf.DUMMYFUNCTION("GOOGLETRANSLATE(W52,""ja"",""ko"")"),"드레싱")</f>
        <v>드레싱</v>
      </c>
      <c r="Z52" s="7" t="str">
        <f ca="1">IFERROR(__xludf.DUMMYFUNCTION("GOOGLETRANSLATE(W52,""ja"",""zh"")"),"敷料")</f>
        <v>敷料</v>
      </c>
      <c r="AA52" s="3" t="s">
        <v>265</v>
      </c>
      <c r="AB52" s="5" t="str">
        <f ca="1">IFERROR(__xludf.DUMMYFUNCTION("GOOGLETRANSLATE(AA52,""ja"",""en"")"),"eating sesame")</f>
        <v>eating sesame</v>
      </c>
      <c r="AC52" s="6" t="str">
        <f ca="1">IFERROR(__xludf.DUMMYFUNCTION("GOOGLETRANSLATE(AA52,""ja"",""ko"")"),"먹는 참깨")</f>
        <v>먹는 참깨</v>
      </c>
      <c r="AD52" s="7" t="str">
        <f ca="1">IFERROR(__xludf.DUMMYFUNCTION("GOOGLETRANSLATE(AA52,""ja"",""zh"")"),"吃芝麻")</f>
        <v>吃芝麻</v>
      </c>
      <c r="AE52" s="3" t="s">
        <v>266</v>
      </c>
      <c r="AF52" s="5" t="str">
        <f ca="1">IFERROR(__xludf.DUMMYFUNCTION("GOOGLETRANSLATE(AE52,""ja"",""en"")"),"Grated vegetables (soy sauce)")</f>
        <v>Grated vegetables (soy sauce)</v>
      </c>
      <c r="AG52" s="6" t="str">
        <f ca="1">IFERROR(__xludf.DUMMYFUNCTION("GOOGLETRANSLATE(AE52,""ja"",""ko"")"),"스리 오로시 야채 (간장")</f>
        <v>스리 오로시 야채 (간장</v>
      </c>
      <c r="AH52" s="7" t="str">
        <f ca="1">IFERROR(__xludf.DUMMYFUNCTION("GOOGLETRANSLATE(AE52,""ja"",""zh"")"),"蔬菜碎（酱油）")</f>
        <v>蔬菜碎（酱油）</v>
      </c>
      <c r="AI52" s="2"/>
      <c r="AJ52" s="2"/>
      <c r="AK52" s="2"/>
      <c r="AL52" s="2"/>
      <c r="AM52" s="3"/>
      <c r="AN52" s="5"/>
      <c r="AO52" s="6"/>
      <c r="AP52" s="7"/>
      <c r="AQ52" s="3"/>
      <c r="AR52" s="5"/>
      <c r="AS52" s="6"/>
      <c r="AT52" s="7"/>
      <c r="AU52" s="3"/>
      <c r="AV52" s="5"/>
      <c r="AW52" s="6"/>
      <c r="AX52" s="7"/>
      <c r="AY52" s="2"/>
      <c r="AZ52" s="2"/>
      <c r="BA52" s="2"/>
      <c r="BB52" s="2"/>
      <c r="BC52" s="3"/>
      <c r="BD52" s="5"/>
      <c r="BE52" s="6"/>
      <c r="BF52" s="7"/>
      <c r="BG52" s="3"/>
      <c r="BH52" s="5"/>
      <c r="BI52" s="6"/>
      <c r="BJ52" s="7"/>
      <c r="BK52" s="3"/>
      <c r="BL52" s="5"/>
      <c r="BM52" s="6"/>
      <c r="BN52" s="7"/>
      <c r="BO52" s="2"/>
      <c r="BP52" s="2"/>
      <c r="BQ52" s="2"/>
      <c r="BR52" s="2"/>
    </row>
    <row r="53" spans="2:70" ht="18.75" customHeight="1" x14ac:dyDescent="0.25">
      <c r="B53" s="8" t="s">
        <v>267</v>
      </c>
      <c r="C53" s="3" t="s">
        <v>267</v>
      </c>
      <c r="D53" s="3"/>
      <c r="E53" s="5" t="s">
        <v>268</v>
      </c>
      <c r="F53" s="5"/>
      <c r="G53" s="6" t="str">
        <f ca="1">IFERROR(__xludf.DUMMYFUNCTION("GOOGLETRANSLATE(B53,""ja"",""ko"")"),"샐러드 우동 푸른 김")</f>
        <v>샐러드 우동 푸른 김</v>
      </c>
      <c r="H53" s="6"/>
      <c r="I53" s="7" t="str">
        <f ca="1">IFERROR(__xludf.DUMMYFUNCTION("GOOGLETRANSLATE(B53,""ja"",""zh"")"),"沙拉乌冬面青海")</f>
        <v>沙拉乌冬面青海</v>
      </c>
      <c r="J53" s="7"/>
      <c r="K53" s="3" t="s">
        <v>267</v>
      </c>
      <c r="L53" s="3"/>
      <c r="M53" s="5" t="s">
        <v>268</v>
      </c>
      <c r="N53" s="5"/>
      <c r="O53" s="6" t="str">
        <f ca="1">IFERROR(__xludf.DUMMYFUNCTION("GOOGLETRANSLATE(B53,""ja"",""ko"")"),"샐러드 우동 푸른 김")</f>
        <v>샐러드 우동 푸른 김</v>
      </c>
      <c r="P53" s="6"/>
      <c r="Q53" s="7" t="str">
        <f ca="1">IFERROR(__xludf.DUMMYFUNCTION("GOOGLETRANSLATE(B53,""ja"",""zh"")"),"沙拉乌冬面青海")</f>
        <v>沙拉乌冬面青海</v>
      </c>
      <c r="R53" s="7"/>
      <c r="S53" s="3" t="s">
        <v>267</v>
      </c>
      <c r="T53" s="5" t="str">
        <f ca="1">IFERROR(__xludf.DUMMYFUNCTION("GOOGLETRANSLATE(S53,""ja"",""en"")"),"Salad udon Aonori")</f>
        <v>Salad udon Aonori</v>
      </c>
      <c r="U53" s="6" t="str">
        <f ca="1">IFERROR(__xludf.DUMMYFUNCTION("GOOGLETRANSLATE(S53,""ja"",""ko"")"),"샐러드 우동 푸른 김")</f>
        <v>샐러드 우동 푸른 김</v>
      </c>
      <c r="V53" s="7" t="str">
        <f ca="1">IFERROR(__xludf.DUMMYFUNCTION("GOOGLETRANSLATE(S53,""ja"",""zh"")"),"沙拉乌冬面青海")</f>
        <v>沙拉乌冬面青海</v>
      </c>
      <c r="W53" s="3" t="s">
        <v>264</v>
      </c>
      <c r="X53" s="5" t="str">
        <f ca="1">IFERROR(__xludf.DUMMYFUNCTION("GOOGLETRANSLATE(W53,""ja"",""en"")"),"dressing")</f>
        <v>dressing</v>
      </c>
      <c r="Y53" s="6" t="str">
        <f ca="1">IFERROR(__xludf.DUMMYFUNCTION("GOOGLETRANSLATE(W53,""ja"",""ko"")"),"드레싱")</f>
        <v>드레싱</v>
      </c>
      <c r="Z53" s="7" t="str">
        <f ca="1">IFERROR(__xludf.DUMMYFUNCTION("GOOGLETRANSLATE(W53,""ja"",""zh"")"),"敷料")</f>
        <v>敷料</v>
      </c>
      <c r="AA53" s="3" t="s">
        <v>265</v>
      </c>
      <c r="AB53" s="5" t="str">
        <f ca="1">IFERROR(__xludf.DUMMYFUNCTION("GOOGLETRANSLATE(AA53,""ja"",""en"")"),"eating sesame")</f>
        <v>eating sesame</v>
      </c>
      <c r="AC53" s="6" t="str">
        <f ca="1">IFERROR(__xludf.DUMMYFUNCTION("GOOGLETRANSLATE(AA53,""ja"",""ko"")"),"먹는 참깨")</f>
        <v>먹는 참깨</v>
      </c>
      <c r="AD53" s="7" t="str">
        <f ca="1">IFERROR(__xludf.DUMMYFUNCTION("GOOGLETRANSLATE(AA53,""ja"",""zh"")"),"吃芝麻")</f>
        <v>吃芝麻</v>
      </c>
      <c r="AE53" s="3" t="s">
        <v>266</v>
      </c>
      <c r="AF53" s="5" t="str">
        <f ca="1">IFERROR(__xludf.DUMMYFUNCTION("GOOGLETRANSLATE(AE53,""ja"",""en"")"),"Grated vegetables (soy sauce)")</f>
        <v>Grated vegetables (soy sauce)</v>
      </c>
      <c r="AG53" s="6" t="str">
        <f ca="1">IFERROR(__xludf.DUMMYFUNCTION("GOOGLETRANSLATE(AE53,""ja"",""ko"")"),"스리 오로시 야채 (간장")</f>
        <v>스리 오로시 야채 (간장</v>
      </c>
      <c r="AH53" s="7" t="str">
        <f ca="1">IFERROR(__xludf.DUMMYFUNCTION("GOOGLETRANSLATE(AE53,""ja"",""zh"")"),"蔬菜碎（酱油）")</f>
        <v>蔬菜碎（酱油）</v>
      </c>
      <c r="AI53" s="2"/>
      <c r="AJ53" s="2"/>
      <c r="AK53" s="2"/>
      <c r="AL53" s="2"/>
      <c r="AM53" s="3"/>
      <c r="AN53" s="5"/>
      <c r="AO53" s="6"/>
      <c r="AP53" s="7"/>
      <c r="AQ53" s="3"/>
      <c r="AR53" s="5"/>
      <c r="AS53" s="6"/>
      <c r="AT53" s="7"/>
      <c r="AU53" s="3"/>
      <c r="AV53" s="5"/>
      <c r="AW53" s="6"/>
      <c r="AX53" s="7"/>
      <c r="AY53" s="2"/>
      <c r="AZ53" s="2"/>
      <c r="BA53" s="2"/>
      <c r="BB53" s="2"/>
      <c r="BC53" s="3"/>
      <c r="BD53" s="5"/>
      <c r="BE53" s="6"/>
      <c r="BF53" s="7"/>
      <c r="BG53" s="3"/>
      <c r="BH53" s="5"/>
      <c r="BI53" s="6"/>
      <c r="BJ53" s="7"/>
      <c r="BK53" s="3"/>
      <c r="BL53" s="5"/>
      <c r="BM53" s="6"/>
      <c r="BN53" s="7"/>
      <c r="BO53" s="2"/>
      <c r="BP53" s="2"/>
      <c r="BQ53" s="2"/>
      <c r="BR53" s="2"/>
    </row>
    <row r="54" spans="2:70" ht="18.75" customHeight="1" x14ac:dyDescent="0.25">
      <c r="B54" s="8" t="s">
        <v>269</v>
      </c>
      <c r="C54" s="3" t="s">
        <v>269</v>
      </c>
      <c r="D54" s="3"/>
      <c r="E54" s="5" t="s">
        <v>270</v>
      </c>
      <c r="F54" s="5" t="s">
        <v>114</v>
      </c>
      <c r="G54" s="6" t="str">
        <f ca="1">IFERROR(__xludf.DUMMYFUNCTION("GOOGLETRANSLATE(B54,""ja"",""ko"")"),"극태")</f>
        <v>극태</v>
      </c>
      <c r="H54" s="6"/>
      <c r="I54" s="7" t="str">
        <f ca="1">IFERROR(__xludf.DUMMYFUNCTION("GOOGLETRANSLATE(B54,""ja"",""zh"")"),"很厚")</f>
        <v>很厚</v>
      </c>
      <c r="J54" s="7"/>
      <c r="K54" s="3" t="s">
        <v>269</v>
      </c>
      <c r="L54" s="3"/>
      <c r="M54" s="5" t="s">
        <v>270</v>
      </c>
      <c r="N54" s="5" t="s">
        <v>114</v>
      </c>
      <c r="O54" s="6" t="str">
        <f ca="1">IFERROR(__xludf.DUMMYFUNCTION("GOOGLETRANSLATE(B54,""ja"",""ko"")"),"극태")</f>
        <v>극태</v>
      </c>
      <c r="P54" s="6"/>
      <c r="Q54" s="7" t="str">
        <f ca="1">IFERROR(__xludf.DUMMYFUNCTION("GOOGLETRANSLATE(B54,""ja"",""zh"")"),"很厚")</f>
        <v>很厚</v>
      </c>
      <c r="R54" s="7"/>
      <c r="S54" s="3" t="s">
        <v>271</v>
      </c>
      <c r="T54" s="5" t="str">
        <f ca="1">IFERROR(__xludf.DUMMYFUNCTION("GOOGLETRANSLATE(S54,""ja"",""en"")"),"thick")</f>
        <v>thick</v>
      </c>
      <c r="U54" s="6" t="str">
        <f ca="1">IFERROR(__xludf.DUMMYFUNCTION("GOOGLETRANSLATE(S54,""ja"",""ko"")"),"굵은")</f>
        <v>굵은</v>
      </c>
      <c r="V54" s="7" t="str">
        <f ca="1">IFERROR(__xludf.DUMMYFUNCTION("GOOGLETRANSLATE(S54,""ja"",""zh"")"),"厚的")</f>
        <v>厚的</v>
      </c>
      <c r="W54" s="3"/>
      <c r="X54" s="5"/>
      <c r="Y54" s="6"/>
      <c r="Z54" s="7"/>
      <c r="AA54" s="3"/>
      <c r="AB54" s="5"/>
      <c r="AC54" s="6"/>
      <c r="AD54" s="7"/>
      <c r="AE54" s="3"/>
      <c r="AF54" s="5"/>
      <c r="AG54" s="6"/>
      <c r="AH54" s="7"/>
      <c r="AI54" s="2"/>
      <c r="AJ54" s="2"/>
      <c r="AK54" s="2"/>
      <c r="AL54" s="2"/>
      <c r="AM54" s="3"/>
      <c r="AN54" s="5"/>
      <c r="AO54" s="6"/>
      <c r="AP54" s="7"/>
      <c r="AQ54" s="3"/>
      <c r="AR54" s="5"/>
      <c r="AS54" s="6"/>
      <c r="AT54" s="7"/>
      <c r="AU54" s="3"/>
      <c r="AV54" s="5"/>
      <c r="AW54" s="6"/>
      <c r="AX54" s="7"/>
      <c r="AY54" s="2"/>
      <c r="AZ54" s="2"/>
      <c r="BA54" s="2"/>
      <c r="BB54" s="2"/>
      <c r="BC54" s="3"/>
      <c r="BD54" s="5"/>
      <c r="BE54" s="6"/>
      <c r="BF54" s="7"/>
      <c r="BG54" s="3"/>
      <c r="BH54" s="5"/>
      <c r="BI54" s="6"/>
      <c r="BJ54" s="7"/>
      <c r="BK54" s="3"/>
      <c r="BL54" s="5"/>
      <c r="BM54" s="6"/>
      <c r="BN54" s="7"/>
      <c r="BO54" s="2"/>
      <c r="BP54" s="2"/>
      <c r="BQ54" s="2"/>
      <c r="BR54" s="2"/>
    </row>
    <row r="55" spans="2:70" ht="18.75" customHeight="1" x14ac:dyDescent="0.25">
      <c r="B55" s="8" t="s">
        <v>272</v>
      </c>
      <c r="C55" s="3" t="s">
        <v>272</v>
      </c>
      <c r="D55" s="3"/>
      <c r="E55" s="5" t="s">
        <v>273</v>
      </c>
      <c r="F55" s="5"/>
      <c r="G55" s="6" t="str">
        <f ca="1">IFERROR(__xludf.DUMMYFUNCTION("GOOGLETRANSLATE(B55,""ja"",""ko"")"),"콜라")</f>
        <v>콜라</v>
      </c>
      <c r="H55" s="6"/>
      <c r="I55" s="7" t="str">
        <f ca="1">IFERROR(__xludf.DUMMYFUNCTION("GOOGLETRANSLATE(B55,""ja"",""zh"")"),"可乐")</f>
        <v>可乐</v>
      </c>
      <c r="J55" s="7"/>
      <c r="K55" s="3" t="s">
        <v>272</v>
      </c>
      <c r="L55" s="3"/>
      <c r="M55" s="5" t="s">
        <v>273</v>
      </c>
      <c r="N55" s="5"/>
      <c r="O55" s="6" t="str">
        <f ca="1">IFERROR(__xludf.DUMMYFUNCTION("GOOGLETRANSLATE(B55,""ja"",""ko"")"),"콜라")</f>
        <v>콜라</v>
      </c>
      <c r="P55" s="6"/>
      <c r="Q55" s="7" t="str">
        <f ca="1">IFERROR(__xludf.DUMMYFUNCTION("GOOGLETRANSLATE(B55,""ja"",""zh"")"),"可乐")</f>
        <v>可乐</v>
      </c>
      <c r="R55" s="7"/>
      <c r="S55" s="3" t="s">
        <v>272</v>
      </c>
      <c r="T55" s="5" t="str">
        <f ca="1">IFERROR(__xludf.DUMMYFUNCTION("GOOGLETRANSLATE(S55,""ja"",""en"")"),"cola")</f>
        <v>cola</v>
      </c>
      <c r="U55" s="6" t="str">
        <f ca="1">IFERROR(__xludf.DUMMYFUNCTION("GOOGLETRANSLATE(S55,""ja"",""ko"")"),"콜라")</f>
        <v>콜라</v>
      </c>
      <c r="V55" s="7" t="str">
        <f ca="1">IFERROR(__xludf.DUMMYFUNCTION("GOOGLETRANSLATE(S55,""ja"",""zh"")"),"可乐")</f>
        <v>可乐</v>
      </c>
      <c r="W55" s="3"/>
      <c r="X55" s="5"/>
      <c r="Y55" s="6"/>
      <c r="Z55" s="7"/>
      <c r="AA55" s="3"/>
      <c r="AB55" s="5"/>
      <c r="AC55" s="6"/>
      <c r="AD55" s="7"/>
      <c r="AE55" s="3"/>
      <c r="AF55" s="5"/>
      <c r="AG55" s="6"/>
      <c r="AH55" s="7"/>
      <c r="AI55" s="2"/>
      <c r="AJ55" s="2"/>
      <c r="AK55" s="2"/>
      <c r="AL55" s="2"/>
      <c r="AM55" s="3"/>
      <c r="AN55" s="5"/>
      <c r="AO55" s="6"/>
      <c r="AP55" s="7"/>
      <c r="AQ55" s="3"/>
      <c r="AR55" s="5"/>
      <c r="AS55" s="6"/>
      <c r="AT55" s="7"/>
      <c r="AU55" s="3"/>
      <c r="AV55" s="5"/>
      <c r="AW55" s="6"/>
      <c r="AX55" s="7"/>
      <c r="AY55" s="2"/>
      <c r="AZ55" s="2"/>
      <c r="BA55" s="2"/>
      <c r="BB55" s="2"/>
      <c r="BC55" s="3"/>
      <c r="BD55" s="5"/>
      <c r="BE55" s="6"/>
      <c r="BF55" s="7"/>
      <c r="BG55" s="3"/>
      <c r="BH55" s="5"/>
      <c r="BI55" s="6"/>
      <c r="BJ55" s="7"/>
      <c r="BK55" s="3"/>
      <c r="BL55" s="5"/>
      <c r="BM55" s="6"/>
      <c r="BN55" s="7"/>
      <c r="BO55" s="2"/>
      <c r="BP55" s="2"/>
      <c r="BQ55" s="2"/>
      <c r="BR55" s="2"/>
    </row>
    <row r="56" spans="2:70" ht="18.75" customHeight="1" x14ac:dyDescent="0.25">
      <c r="B56" s="8" t="s">
        <v>274</v>
      </c>
      <c r="C56" s="3" t="s">
        <v>274</v>
      </c>
      <c r="D56" s="3"/>
      <c r="E56" s="5" t="s">
        <v>275</v>
      </c>
      <c r="F56" s="5"/>
      <c r="G56" s="6" t="str">
        <f ca="1">IFERROR(__xludf.DUMMYFUNCTION("GOOGLETRANSLATE(B56,""ja"",""ko"")"),"두꺼운 구운 계란")</f>
        <v>두꺼운 구운 계란</v>
      </c>
      <c r="H56" s="6"/>
      <c r="I56" s="7" t="str">
        <f ca="1">IFERROR(__xludf.DUMMYFUNCTION("GOOGLETRANSLATE(B56,""ja"",""zh"")"),"厚厚的煎鸡蛋")</f>
        <v>厚厚的煎鸡蛋</v>
      </c>
      <c r="J56" s="7"/>
      <c r="K56" s="3" t="s">
        <v>274</v>
      </c>
      <c r="L56" s="3"/>
      <c r="M56" s="5" t="s">
        <v>275</v>
      </c>
      <c r="N56" s="5"/>
      <c r="O56" s="6" t="str">
        <f ca="1">IFERROR(__xludf.DUMMYFUNCTION("GOOGLETRANSLATE(B56,""ja"",""ko"")"),"두꺼운 구운 계란")</f>
        <v>두꺼운 구운 계란</v>
      </c>
      <c r="P56" s="6"/>
      <c r="Q56" s="7" t="str">
        <f ca="1">IFERROR(__xludf.DUMMYFUNCTION("GOOGLETRANSLATE(B56,""ja"",""zh"")"),"厚厚的煎鸡蛋")</f>
        <v>厚厚的煎鸡蛋</v>
      </c>
      <c r="R56" s="7"/>
      <c r="S56" s="3" t="s">
        <v>274</v>
      </c>
      <c r="T56" s="5" t="str">
        <f ca="1">IFERROR(__xludf.DUMMYFUNCTION("GOOGLETRANSLATE(S56,""ja"",""en"")"),"thick fried egg")</f>
        <v>thick fried egg</v>
      </c>
      <c r="U56" s="6" t="str">
        <f ca="1">IFERROR(__xludf.DUMMYFUNCTION("GOOGLETRANSLATE(S56,""ja"",""ko"")"),"두꺼운 구운 계란")</f>
        <v>두꺼운 구운 계란</v>
      </c>
      <c r="V56" s="7" t="str">
        <f ca="1">IFERROR(__xludf.DUMMYFUNCTION("GOOGLETRANSLATE(S56,""ja"",""zh"")"),"厚厚的煎鸡蛋")</f>
        <v>厚厚的煎鸡蛋</v>
      </c>
      <c r="W56" s="3"/>
      <c r="X56" s="5"/>
      <c r="Y56" s="6"/>
      <c r="Z56" s="7"/>
      <c r="AA56" s="3"/>
      <c r="AB56" s="5"/>
      <c r="AC56" s="6"/>
      <c r="AD56" s="7"/>
      <c r="AE56" s="3"/>
      <c r="AF56" s="5"/>
      <c r="AG56" s="6"/>
      <c r="AH56" s="7"/>
      <c r="AI56" s="2"/>
      <c r="AJ56" s="2"/>
      <c r="AK56" s="2"/>
      <c r="AL56" s="2"/>
      <c r="AM56" s="3"/>
      <c r="AN56" s="5"/>
      <c r="AO56" s="6"/>
      <c r="AP56" s="7"/>
      <c r="AQ56" s="3"/>
      <c r="AR56" s="5"/>
      <c r="AS56" s="6"/>
      <c r="AT56" s="7"/>
      <c r="AU56" s="3"/>
      <c r="AV56" s="5"/>
      <c r="AW56" s="6"/>
      <c r="AX56" s="7"/>
      <c r="AY56" s="2"/>
      <c r="AZ56" s="2"/>
      <c r="BA56" s="2"/>
      <c r="BB56" s="2"/>
      <c r="BC56" s="3"/>
      <c r="BD56" s="5"/>
      <c r="BE56" s="6"/>
      <c r="BF56" s="7"/>
      <c r="BG56" s="3"/>
      <c r="BH56" s="5"/>
      <c r="BI56" s="6"/>
      <c r="BJ56" s="7"/>
      <c r="BK56" s="3"/>
      <c r="BL56" s="5"/>
      <c r="BM56" s="6"/>
      <c r="BN56" s="7"/>
      <c r="BO56" s="2"/>
      <c r="BP56" s="2"/>
      <c r="BQ56" s="2"/>
      <c r="BR56" s="2"/>
    </row>
    <row r="57" spans="2:70" ht="18.75" customHeight="1" x14ac:dyDescent="0.25">
      <c r="B57" s="8" t="s">
        <v>246</v>
      </c>
      <c r="C57" s="3" t="s">
        <v>246</v>
      </c>
      <c r="D57" s="3"/>
      <c r="E57" s="5" t="s">
        <v>247</v>
      </c>
      <c r="F57" s="5" t="s">
        <v>248</v>
      </c>
      <c r="G57" s="6" t="str">
        <f ca="1">IFERROR(__xludf.DUMMYFUNCTION("GOOGLETRANSLATE(B57,""ja"",""ko"")"),"0.5 구슬 추가 극태")</f>
        <v>0.5 구슬 추가 극태</v>
      </c>
      <c r="H57" s="6"/>
      <c r="I57" s="7" t="str">
        <f ca="1">IFERROR(__xludf.DUMMYFUNCTION("GOOGLETRANSLATE(B57,""ja"",""zh"")"),"0.5 球加厚")</f>
        <v>0.5 球加厚</v>
      </c>
      <c r="J57" s="7"/>
      <c r="K57" s="3" t="s">
        <v>246</v>
      </c>
      <c r="L57" s="3"/>
      <c r="M57" s="5" t="s">
        <v>247</v>
      </c>
      <c r="N57" s="5" t="s">
        <v>248</v>
      </c>
      <c r="O57" s="6" t="str">
        <f ca="1">IFERROR(__xludf.DUMMYFUNCTION("GOOGLETRANSLATE(B57,""ja"",""ko"")"),"0.5 구슬 추가 극태")</f>
        <v>0.5 구슬 추가 극태</v>
      </c>
      <c r="P57" s="6"/>
      <c r="Q57" s="7" t="str">
        <f ca="1">IFERROR(__xludf.DUMMYFUNCTION("GOOGLETRANSLATE(B57,""ja"",""zh"")"),"0.5 球加厚")</f>
        <v>0.5 球加厚</v>
      </c>
      <c r="R57" s="7"/>
      <c r="S57" s="3" t="s">
        <v>276</v>
      </c>
      <c r="T57" s="5" t="str">
        <f ca="1">IFERROR(__xludf.DUMMYFUNCTION("GOOGLETRANSLATE(S57,""ja"",""en"")"),"0.5 ball thick")</f>
        <v>0.5 ball thick</v>
      </c>
      <c r="U57" s="6" t="str">
        <f ca="1">IFERROR(__xludf.DUMMYFUNCTION("GOOGLETRANSLATE(S57,""ja"",""ko"")"),"0.5 구슬 태")</f>
        <v>0.5 구슬 태</v>
      </c>
      <c r="V57" s="7" t="str">
        <f ca="1">IFERROR(__xludf.DUMMYFUNCTION("GOOGLETRANSLATE(S57,""ja"",""zh"")"),"0.5球厚")</f>
        <v>0.5球厚</v>
      </c>
      <c r="W57" s="3"/>
      <c r="X57" s="5"/>
      <c r="Y57" s="6"/>
      <c r="Z57" s="7"/>
      <c r="AA57" s="3"/>
      <c r="AB57" s="5"/>
      <c r="AC57" s="6"/>
      <c r="AD57" s="7"/>
      <c r="AE57" s="3"/>
      <c r="AF57" s="5"/>
      <c r="AG57" s="6"/>
      <c r="AH57" s="7"/>
      <c r="AI57" s="2"/>
      <c r="AJ57" s="2"/>
      <c r="AK57" s="2"/>
      <c r="AL57" s="2"/>
      <c r="AM57" s="3"/>
      <c r="AN57" s="5"/>
      <c r="AO57" s="6"/>
      <c r="AP57" s="7"/>
      <c r="AQ57" s="3"/>
      <c r="AR57" s="5"/>
      <c r="AS57" s="6"/>
      <c r="AT57" s="7"/>
      <c r="AU57" s="3"/>
      <c r="AV57" s="5"/>
      <c r="AW57" s="6"/>
      <c r="AX57" s="7"/>
      <c r="AY57" s="2"/>
      <c r="AZ57" s="2"/>
      <c r="BA57" s="2"/>
      <c r="BB57" s="2"/>
      <c r="BC57" s="3"/>
      <c r="BD57" s="5"/>
      <c r="BE57" s="6"/>
      <c r="BF57" s="7"/>
      <c r="BG57" s="3"/>
      <c r="BH57" s="5"/>
      <c r="BI57" s="6"/>
      <c r="BJ57" s="7"/>
      <c r="BK57" s="3"/>
      <c r="BL57" s="5"/>
      <c r="BM57" s="6"/>
      <c r="BN57" s="7"/>
      <c r="BO57" s="2"/>
      <c r="BP57" s="2"/>
      <c r="BQ57" s="2"/>
      <c r="BR57" s="2"/>
    </row>
    <row r="58" spans="2:70" ht="18.75" customHeight="1" x14ac:dyDescent="0.25">
      <c r="B58" s="8" t="s">
        <v>250</v>
      </c>
      <c r="C58" s="3" t="s">
        <v>250</v>
      </c>
      <c r="D58" s="3"/>
      <c r="E58" s="5" t="s">
        <v>251</v>
      </c>
      <c r="F58" s="5" t="s">
        <v>248</v>
      </c>
      <c r="G58" s="6" t="str">
        <f ca="1">IFERROR(__xludf.DUMMYFUNCTION("GOOGLETRANSLATE(B58,""ja"",""ko"")"),"1 구슬 추가 극단")</f>
        <v>1 구슬 추가 극단</v>
      </c>
      <c r="H58" s="6"/>
      <c r="I58" s="7" t="str">
        <f ca="1">IFERROR(__xludf.DUMMYFUNCTION("GOOGLETRANSLATE(B58,""ja"",""zh"")"),"1 个球加厚")</f>
        <v>1 个球加厚</v>
      </c>
      <c r="J58" s="7"/>
      <c r="K58" s="3" t="s">
        <v>250</v>
      </c>
      <c r="L58" s="3"/>
      <c r="M58" s="5" t="s">
        <v>251</v>
      </c>
      <c r="N58" s="5" t="s">
        <v>248</v>
      </c>
      <c r="O58" s="6" t="str">
        <f ca="1">IFERROR(__xludf.DUMMYFUNCTION("GOOGLETRANSLATE(B58,""ja"",""ko"")"),"1 구슬 추가 극단")</f>
        <v>1 구슬 추가 극단</v>
      </c>
      <c r="P58" s="6"/>
      <c r="Q58" s="7" t="str">
        <f ca="1">IFERROR(__xludf.DUMMYFUNCTION("GOOGLETRANSLATE(B58,""ja"",""zh"")"),"1 个球加厚")</f>
        <v>1 个球加厚</v>
      </c>
      <c r="R58" s="7"/>
      <c r="S58" s="3" t="s">
        <v>277</v>
      </c>
      <c r="T58" s="5" t="str">
        <f ca="1">IFERROR(__xludf.DUMMYFUNCTION("GOOGLETRANSLATE(S58,""ja"",""en"")"),"1 ball thick")</f>
        <v>1 ball thick</v>
      </c>
      <c r="U58" s="6" t="str">
        <f ca="1">IFERROR(__xludf.DUMMYFUNCTION("GOOGLETRANSLATE(S58,""ja"",""ko"")"),"1 구슬 태")</f>
        <v>1 구슬 태</v>
      </c>
      <c r="V58" s="7" t="str">
        <f ca="1">IFERROR(__xludf.DUMMYFUNCTION("GOOGLETRANSLATE(S58,""ja"",""zh"")"),"1 球厚")</f>
        <v>1 球厚</v>
      </c>
      <c r="W58" s="3"/>
      <c r="X58" s="5"/>
      <c r="Y58" s="6"/>
      <c r="Z58" s="7"/>
      <c r="AA58" s="3"/>
      <c r="AB58" s="5"/>
      <c r="AC58" s="6"/>
      <c r="AD58" s="7"/>
      <c r="AE58" s="3"/>
      <c r="AF58" s="5"/>
      <c r="AG58" s="6"/>
      <c r="AH58" s="7"/>
      <c r="AI58" s="2"/>
      <c r="AJ58" s="2"/>
      <c r="AK58" s="2"/>
      <c r="AL58" s="2"/>
      <c r="AM58" s="3"/>
      <c r="AN58" s="5"/>
      <c r="AO58" s="6"/>
      <c r="AP58" s="7"/>
      <c r="AQ58" s="3"/>
      <c r="AR58" s="5"/>
      <c r="AS58" s="6"/>
      <c r="AT58" s="7"/>
      <c r="AU58" s="3"/>
      <c r="AV58" s="5"/>
      <c r="AW58" s="6"/>
      <c r="AX58" s="7"/>
      <c r="AY58" s="2"/>
      <c r="AZ58" s="2"/>
      <c r="BA58" s="2"/>
      <c r="BB58" s="2"/>
      <c r="BC58" s="3"/>
      <c r="BD58" s="5"/>
      <c r="BE58" s="6"/>
      <c r="BF58" s="7"/>
      <c r="BG58" s="3"/>
      <c r="BH58" s="5"/>
      <c r="BI58" s="6"/>
      <c r="BJ58" s="7"/>
      <c r="BK58" s="3"/>
      <c r="BL58" s="5"/>
      <c r="BM58" s="6"/>
      <c r="BN58" s="7"/>
      <c r="BO58" s="2"/>
      <c r="BP58" s="2"/>
      <c r="BQ58" s="2"/>
      <c r="BR58" s="2"/>
    </row>
    <row r="59" spans="2:70" ht="18.75" customHeight="1" x14ac:dyDescent="0.25">
      <c r="B59" s="8" t="s">
        <v>255</v>
      </c>
      <c r="C59" s="3" t="s">
        <v>255</v>
      </c>
      <c r="D59" s="3"/>
      <c r="E59" s="5" t="s">
        <v>247</v>
      </c>
      <c r="F59" s="5" t="s">
        <v>256</v>
      </c>
      <c r="G59" s="6" t="str">
        <f ca="1">IFERROR(__xludf.DUMMYFUNCTION("GOOGLETRANSLATE(B59,""ja"",""ko"")"),"0.5 구슬 추가 푸른 김")</f>
        <v>0.5 구슬 추가 푸른 김</v>
      </c>
      <c r="H59" s="6"/>
      <c r="I59" s="7" t="str">
        <f ca="1">IFERROR(__xludf.DUMMYFUNCTION("GOOGLETRANSLATE(B59,""ja"",""zh"")"),"0.5球添加绿海藻")</f>
        <v>0.5球添加绿海藻</v>
      </c>
      <c r="J59" s="7"/>
      <c r="K59" s="3" t="s">
        <v>255</v>
      </c>
      <c r="L59" s="3"/>
      <c r="M59" s="5" t="s">
        <v>247</v>
      </c>
      <c r="N59" s="5" t="s">
        <v>256</v>
      </c>
      <c r="O59" s="6" t="str">
        <f ca="1">IFERROR(__xludf.DUMMYFUNCTION("GOOGLETRANSLATE(B59,""ja"",""ko"")"),"0.5 구슬 추가 푸른 김")</f>
        <v>0.5 구슬 추가 푸른 김</v>
      </c>
      <c r="P59" s="6"/>
      <c r="Q59" s="7" t="str">
        <f ca="1">IFERROR(__xludf.DUMMYFUNCTION("GOOGLETRANSLATE(B59,""ja"",""zh"")"),"0.5球添加绿海藻")</f>
        <v>0.5球添加绿海藻</v>
      </c>
      <c r="R59" s="7"/>
      <c r="S59" s="3" t="s">
        <v>278</v>
      </c>
      <c r="T59" s="5" t="str">
        <f ca="1">IFERROR(__xludf.DUMMYFUNCTION("GOOGLETRANSLATE(S59,""ja"",""en"")"),"0.5 ball blue")</f>
        <v>0.5 ball blue</v>
      </c>
      <c r="U59" s="6" t="str">
        <f ca="1">IFERROR(__xludf.DUMMYFUNCTION("GOOGLETRANSLATE(S59,""ja"",""ko"")"),"0.5 구슬 청")</f>
        <v>0.5 구슬 청</v>
      </c>
      <c r="V59" s="7" t="str">
        <f ca="1">IFERROR(__xludf.DUMMYFUNCTION("GOOGLETRANSLATE(S59,""ja"",""zh"")"),"0.5球蓝色")</f>
        <v>0.5球蓝色</v>
      </c>
      <c r="W59" s="3"/>
      <c r="X59" s="5"/>
      <c r="Y59" s="6"/>
      <c r="Z59" s="7"/>
      <c r="AA59" s="3"/>
      <c r="AB59" s="5"/>
      <c r="AC59" s="6"/>
      <c r="AD59" s="7"/>
      <c r="AE59" s="3"/>
      <c r="AF59" s="5"/>
      <c r="AG59" s="6"/>
      <c r="AH59" s="7"/>
      <c r="AI59" s="2"/>
      <c r="AJ59" s="2"/>
      <c r="AK59" s="2"/>
      <c r="AL59" s="2"/>
      <c r="AM59" s="3"/>
      <c r="AN59" s="5"/>
      <c r="AO59" s="6"/>
      <c r="AP59" s="7"/>
      <c r="AQ59" s="3"/>
      <c r="AR59" s="5"/>
      <c r="AS59" s="6"/>
      <c r="AT59" s="7"/>
      <c r="AU59" s="3"/>
      <c r="AV59" s="5"/>
      <c r="AW59" s="6"/>
      <c r="AX59" s="7"/>
      <c r="AY59" s="2"/>
      <c r="AZ59" s="2"/>
      <c r="BA59" s="2"/>
      <c r="BB59" s="2"/>
      <c r="BC59" s="3"/>
      <c r="BD59" s="5"/>
      <c r="BE59" s="6"/>
      <c r="BF59" s="7"/>
      <c r="BG59" s="3"/>
      <c r="BH59" s="5"/>
      <c r="BI59" s="6"/>
      <c r="BJ59" s="7"/>
      <c r="BK59" s="3"/>
      <c r="BL59" s="5"/>
      <c r="BM59" s="6"/>
      <c r="BN59" s="7"/>
      <c r="BO59" s="2"/>
      <c r="BP59" s="2"/>
      <c r="BQ59" s="2"/>
      <c r="BR59" s="2"/>
    </row>
    <row r="60" spans="2:70" ht="18.75" customHeight="1" x14ac:dyDescent="0.25">
      <c r="B60" s="8" t="s">
        <v>279</v>
      </c>
      <c r="C60" s="3" t="s">
        <v>279</v>
      </c>
      <c r="D60" s="3"/>
      <c r="E60" s="5" t="s">
        <v>251</v>
      </c>
      <c r="F60" s="5" t="s">
        <v>256</v>
      </c>
      <c r="G60" s="6" t="str">
        <f ca="1">IFERROR(__xludf.DUMMYFUNCTION("GOOGLETRANSLATE(B60,""ja"",""ko"")"),"1 구슬 추가 푸른 김")</f>
        <v>1 구슬 추가 푸른 김</v>
      </c>
      <c r="H60" s="6"/>
      <c r="I60" s="7" t="str">
        <f ca="1">IFERROR(__xludf.DUMMYFUNCTION("GOOGLETRANSLATE(B60,""ja"",""zh"")"),"1 球添加绿海藻")</f>
        <v>1 球添加绿海藻</v>
      </c>
      <c r="J60" s="7"/>
      <c r="K60" s="3" t="s">
        <v>279</v>
      </c>
      <c r="L60" s="3"/>
      <c r="M60" s="5" t="s">
        <v>251</v>
      </c>
      <c r="N60" s="5" t="s">
        <v>256</v>
      </c>
      <c r="O60" s="6" t="str">
        <f ca="1">IFERROR(__xludf.DUMMYFUNCTION("GOOGLETRANSLATE(B60,""ja"",""ko"")"),"1 구슬 추가 푸른 김")</f>
        <v>1 구슬 추가 푸른 김</v>
      </c>
      <c r="P60" s="6"/>
      <c r="Q60" s="7" t="str">
        <f ca="1">IFERROR(__xludf.DUMMYFUNCTION("GOOGLETRANSLATE(B60,""ja"",""zh"")"),"1 球添加绿海藻")</f>
        <v>1 球添加绿海藻</v>
      </c>
      <c r="R60" s="7"/>
      <c r="S60" s="3" t="s">
        <v>280</v>
      </c>
      <c r="T60" s="5" t="str">
        <f ca="1">IFERROR(__xludf.DUMMYFUNCTION("GOOGLETRANSLATE(S60,""ja"",""en"")"),"1 ball blue")</f>
        <v>1 ball blue</v>
      </c>
      <c r="U60" s="6" t="str">
        <f ca="1">IFERROR(__xludf.DUMMYFUNCTION("GOOGLETRANSLATE(S60,""ja"",""ko"")"),"1 구슬 블루")</f>
        <v>1 구슬 블루</v>
      </c>
      <c r="V60" s="7" t="str">
        <f ca="1">IFERROR(__xludf.DUMMYFUNCTION("GOOGLETRANSLATE(S60,""ja"",""zh"")"),"1 球 蓝色")</f>
        <v>1 球 蓝色</v>
      </c>
      <c r="W60" s="3"/>
      <c r="X60" s="5"/>
      <c r="Y60" s="6"/>
      <c r="Z60" s="7"/>
      <c r="AA60" s="3"/>
      <c r="AB60" s="5"/>
      <c r="AC60" s="6"/>
      <c r="AD60" s="7"/>
      <c r="AE60" s="3"/>
      <c r="AF60" s="5"/>
      <c r="AG60" s="6"/>
      <c r="AH60" s="7"/>
      <c r="AI60" s="2"/>
      <c r="AJ60" s="2"/>
      <c r="AK60" s="2"/>
      <c r="AL60" s="2"/>
      <c r="AM60" s="3"/>
      <c r="AN60" s="5"/>
      <c r="AO60" s="6"/>
      <c r="AP60" s="7"/>
      <c r="AQ60" s="3"/>
      <c r="AR60" s="5"/>
      <c r="AS60" s="6"/>
      <c r="AT60" s="7"/>
      <c r="AU60" s="3"/>
      <c r="AV60" s="5"/>
      <c r="AW60" s="6"/>
      <c r="AX60" s="7"/>
      <c r="AY60" s="2"/>
      <c r="AZ60" s="2"/>
      <c r="BA60" s="2"/>
      <c r="BB60" s="2"/>
      <c r="BC60" s="3"/>
      <c r="BD60" s="5"/>
      <c r="BE60" s="6"/>
      <c r="BF60" s="7"/>
      <c r="BG60" s="3"/>
      <c r="BH60" s="5"/>
      <c r="BI60" s="6"/>
      <c r="BJ60" s="7"/>
      <c r="BK60" s="3"/>
      <c r="BL60" s="5"/>
      <c r="BM60" s="6"/>
      <c r="BN60" s="7"/>
      <c r="BO60" s="2"/>
      <c r="BP60" s="2"/>
      <c r="BQ60" s="2"/>
      <c r="BR60" s="2"/>
    </row>
    <row r="61" spans="2:70" ht="18.75" customHeight="1" x14ac:dyDescent="0.25">
      <c r="B61" s="8" t="s">
        <v>281</v>
      </c>
      <c r="C61" s="3" t="s">
        <v>281</v>
      </c>
      <c r="D61" s="3"/>
      <c r="E61" s="5" t="s">
        <v>282</v>
      </c>
      <c r="F61" s="5" t="s">
        <v>248</v>
      </c>
      <c r="G61" s="6" t="str">
        <f ca="1">IFERROR(__xludf.DUMMYFUNCTION("GOOGLETRANSLATE(B61,""ja"",""ko"")"),"1.5 구슬 추가 극태")</f>
        <v>1.5 구슬 추가 극태</v>
      </c>
      <c r="H61" s="6"/>
      <c r="I61" s="7" t="str">
        <f ca="1">IFERROR(__xludf.DUMMYFUNCTION("GOOGLETRANSLATE(B61,""ja"",""zh"")"),"1.5球加厚")</f>
        <v>1.5球加厚</v>
      </c>
      <c r="J61" s="7"/>
      <c r="K61" s="3" t="s">
        <v>281</v>
      </c>
      <c r="L61" s="3"/>
      <c r="M61" s="5" t="s">
        <v>282</v>
      </c>
      <c r="N61" s="5" t="s">
        <v>248</v>
      </c>
      <c r="O61" s="6" t="str">
        <f ca="1">IFERROR(__xludf.DUMMYFUNCTION("GOOGLETRANSLATE(B61,""ja"",""ko"")"),"1.5 구슬 추가 극태")</f>
        <v>1.5 구슬 추가 극태</v>
      </c>
      <c r="P61" s="6"/>
      <c r="Q61" s="7" t="str">
        <f ca="1">IFERROR(__xludf.DUMMYFUNCTION("GOOGLETRANSLATE(B61,""ja"",""zh"")"),"1.5球加厚")</f>
        <v>1.5球加厚</v>
      </c>
      <c r="R61" s="7"/>
      <c r="S61" s="3" t="s">
        <v>283</v>
      </c>
      <c r="T61" s="5" t="str">
        <f ca="1">IFERROR(__xludf.DUMMYFUNCTION("GOOGLETRANSLATE(S61,""ja"",""en"")"),"1.5 balls thick")</f>
        <v>1.5 balls thick</v>
      </c>
      <c r="U61" s="6" t="str">
        <f ca="1">IFERROR(__xludf.DUMMYFUNCTION("GOOGLETRANSLATE(S61,""ja"",""ko"")"),"1.5 구슬 태")</f>
        <v>1.5 구슬 태</v>
      </c>
      <c r="V61" s="7" t="str">
        <f ca="1">IFERROR(__xludf.DUMMYFUNCTION("GOOGLETRANSLATE(S61,""ja"",""zh"")"),"1.5球厚")</f>
        <v>1.5球厚</v>
      </c>
      <c r="W61" s="3"/>
      <c r="X61" s="5"/>
      <c r="Y61" s="6"/>
      <c r="Z61" s="7"/>
      <c r="AA61" s="3"/>
      <c r="AB61" s="5"/>
      <c r="AC61" s="6"/>
      <c r="AD61" s="7"/>
      <c r="AE61" s="3"/>
      <c r="AF61" s="5"/>
      <c r="AG61" s="6"/>
      <c r="AH61" s="7"/>
      <c r="AI61" s="2"/>
      <c r="AJ61" s="2"/>
      <c r="AK61" s="2"/>
      <c r="AL61" s="2"/>
      <c r="AM61" s="3"/>
      <c r="AN61" s="5"/>
      <c r="AO61" s="6"/>
      <c r="AP61" s="7"/>
      <c r="AQ61" s="3"/>
      <c r="AR61" s="5"/>
      <c r="AS61" s="6"/>
      <c r="AT61" s="7"/>
      <c r="AU61" s="3"/>
      <c r="AV61" s="5"/>
      <c r="AW61" s="6"/>
      <c r="AX61" s="7"/>
      <c r="AY61" s="2"/>
      <c r="AZ61" s="2"/>
      <c r="BA61" s="2"/>
      <c r="BB61" s="2"/>
      <c r="BC61" s="3"/>
      <c r="BD61" s="5"/>
      <c r="BE61" s="6"/>
      <c r="BF61" s="7"/>
      <c r="BG61" s="3"/>
      <c r="BH61" s="5"/>
      <c r="BI61" s="6"/>
      <c r="BJ61" s="7"/>
      <c r="BK61" s="3"/>
      <c r="BL61" s="5"/>
      <c r="BM61" s="6"/>
      <c r="BN61" s="7"/>
      <c r="BO61" s="2"/>
      <c r="BP61" s="2"/>
      <c r="BQ61" s="2"/>
      <c r="BR61" s="2"/>
    </row>
    <row r="62" spans="2:70" ht="18.75" customHeight="1" x14ac:dyDescent="0.25">
      <c r="B62" s="8" t="s">
        <v>284</v>
      </c>
      <c r="C62" s="3" t="s">
        <v>284</v>
      </c>
      <c r="D62" s="3"/>
      <c r="E62" s="5" t="s">
        <v>285</v>
      </c>
      <c r="F62" s="5" t="s">
        <v>248</v>
      </c>
      <c r="G62" s="6" t="str">
        <f ca="1">IFERROR(__xludf.DUMMYFUNCTION("GOOGLETRANSLATE(B62,""ja"",""ko"")"),"2 구슬 추가 극태")</f>
        <v>2 구슬 추가 극태</v>
      </c>
      <c r="H62" s="6"/>
      <c r="I62" s="7" t="str">
        <f ca="1">IFERROR(__xludf.DUMMYFUNCTION("GOOGLETRANSLATE(B62,""ja"",""zh"")"),"2 个球加厚")</f>
        <v>2 个球加厚</v>
      </c>
      <c r="J62" s="7"/>
      <c r="K62" s="3" t="s">
        <v>284</v>
      </c>
      <c r="L62" s="3"/>
      <c r="M62" s="5" t="s">
        <v>285</v>
      </c>
      <c r="N62" s="5" t="s">
        <v>248</v>
      </c>
      <c r="O62" s="6" t="str">
        <f ca="1">IFERROR(__xludf.DUMMYFUNCTION("GOOGLETRANSLATE(B62,""ja"",""ko"")"),"2 구슬 추가 극태")</f>
        <v>2 구슬 추가 극태</v>
      </c>
      <c r="P62" s="6"/>
      <c r="Q62" s="7" t="str">
        <f ca="1">IFERROR(__xludf.DUMMYFUNCTION("GOOGLETRANSLATE(B62,""ja"",""zh"")"),"2 个球加厚")</f>
        <v>2 个球加厚</v>
      </c>
      <c r="R62" s="7"/>
      <c r="S62" s="3" t="s">
        <v>286</v>
      </c>
      <c r="T62" s="5" t="str">
        <f ca="1">IFERROR(__xludf.DUMMYFUNCTION("GOOGLETRANSLATE(S62,""ja"",""en"")"),"2 balls thick")</f>
        <v>2 balls thick</v>
      </c>
      <c r="U62" s="6" t="str">
        <f ca="1">IFERROR(__xludf.DUMMYFUNCTION("GOOGLETRANSLATE(S62,""ja"",""ko"")"),"2 구슬 태")</f>
        <v>2 구슬 태</v>
      </c>
      <c r="V62" s="7" t="str">
        <f ca="1">IFERROR(__xludf.DUMMYFUNCTION("GOOGLETRANSLATE(S62,""ja"",""zh"")"),"2个球厚")</f>
        <v>2个球厚</v>
      </c>
      <c r="W62" s="3"/>
      <c r="X62" s="5"/>
      <c r="Y62" s="6"/>
      <c r="Z62" s="7"/>
      <c r="AA62" s="3"/>
      <c r="AB62" s="5"/>
      <c r="AC62" s="6"/>
      <c r="AD62" s="7"/>
      <c r="AE62" s="3"/>
      <c r="AF62" s="5"/>
      <c r="AG62" s="6"/>
      <c r="AH62" s="7"/>
      <c r="AI62" s="2"/>
      <c r="AJ62" s="2"/>
      <c r="AK62" s="2"/>
      <c r="AL62" s="2"/>
      <c r="AM62" s="3"/>
      <c r="AN62" s="5"/>
      <c r="AO62" s="6"/>
      <c r="AP62" s="7"/>
      <c r="AQ62" s="3"/>
      <c r="AR62" s="5"/>
      <c r="AS62" s="6"/>
      <c r="AT62" s="7"/>
      <c r="AU62" s="3"/>
      <c r="AV62" s="5"/>
      <c r="AW62" s="6"/>
      <c r="AX62" s="7"/>
      <c r="AY62" s="2"/>
      <c r="AZ62" s="2"/>
      <c r="BA62" s="2"/>
      <c r="BB62" s="2"/>
      <c r="BC62" s="3"/>
      <c r="BD62" s="5"/>
      <c r="BE62" s="6"/>
      <c r="BF62" s="7"/>
      <c r="BG62" s="3"/>
      <c r="BH62" s="5"/>
      <c r="BI62" s="6"/>
      <c r="BJ62" s="7"/>
      <c r="BK62" s="3"/>
      <c r="BL62" s="5"/>
      <c r="BM62" s="6"/>
      <c r="BN62" s="7"/>
      <c r="BO62" s="2"/>
      <c r="BP62" s="2"/>
      <c r="BQ62" s="2"/>
      <c r="BR62" s="2"/>
    </row>
    <row r="63" spans="2:70" ht="18.75" customHeight="1" x14ac:dyDescent="0.25">
      <c r="B63" s="8" t="s">
        <v>287</v>
      </c>
      <c r="C63" s="3" t="s">
        <v>287</v>
      </c>
      <c r="D63" s="3"/>
      <c r="E63" s="5" t="s">
        <v>282</v>
      </c>
      <c r="F63" s="5" t="s">
        <v>256</v>
      </c>
      <c r="G63" s="6" t="str">
        <f ca="1">IFERROR(__xludf.DUMMYFUNCTION("GOOGLETRANSLATE(B63,""ja"",""ko"")"),"1.5 구슬 추가 푸른 김")</f>
        <v>1.5 구슬 추가 푸른 김</v>
      </c>
      <c r="H63" s="6"/>
      <c r="I63" s="7" t="str">
        <f ca="1">IFERROR(__xludf.DUMMYFUNCTION("GOOGLETRANSLATE(B63,""ja"",""zh"")"),"1.5球添加绿海藻")</f>
        <v>1.5球添加绿海藻</v>
      </c>
      <c r="J63" s="7"/>
      <c r="K63" s="3" t="s">
        <v>287</v>
      </c>
      <c r="L63" s="3"/>
      <c r="M63" s="5" t="s">
        <v>282</v>
      </c>
      <c r="N63" s="5" t="s">
        <v>256</v>
      </c>
      <c r="O63" s="6" t="str">
        <f ca="1">IFERROR(__xludf.DUMMYFUNCTION("GOOGLETRANSLATE(B63,""ja"",""ko"")"),"1.5 구슬 추가 푸른 김")</f>
        <v>1.5 구슬 추가 푸른 김</v>
      </c>
      <c r="P63" s="6"/>
      <c r="Q63" s="7" t="str">
        <f ca="1">IFERROR(__xludf.DUMMYFUNCTION("GOOGLETRANSLATE(B63,""ja"",""zh"")"),"1.5球添加绿海藻")</f>
        <v>1.5球添加绿海藻</v>
      </c>
      <c r="R63" s="7"/>
      <c r="S63" s="3" t="s">
        <v>288</v>
      </c>
      <c r="T63" s="5" t="str">
        <f ca="1">IFERROR(__xludf.DUMMYFUNCTION("GOOGLETRANSLATE(S63,""ja"",""en"")"),"1.5 balls blue")</f>
        <v>1.5 balls blue</v>
      </c>
      <c r="U63" s="6" t="str">
        <f ca="1">IFERROR(__xludf.DUMMYFUNCTION("GOOGLETRANSLATE(S63,""ja"",""ko"")"),"1.5 구슬 청")</f>
        <v>1.5 구슬 청</v>
      </c>
      <c r="V63" s="7" t="str">
        <f ca="1">IFERROR(__xludf.DUMMYFUNCTION("GOOGLETRANSLATE(S63,""ja"",""zh"")"),"1.5球蓝色")</f>
        <v>1.5球蓝色</v>
      </c>
      <c r="W63" s="3"/>
      <c r="X63" s="5"/>
      <c r="Y63" s="6"/>
      <c r="Z63" s="7"/>
      <c r="AA63" s="3"/>
      <c r="AB63" s="5"/>
      <c r="AC63" s="6"/>
      <c r="AD63" s="7"/>
      <c r="AE63" s="3"/>
      <c r="AF63" s="5"/>
      <c r="AG63" s="6"/>
      <c r="AH63" s="7"/>
      <c r="AI63" s="2"/>
      <c r="AJ63" s="2"/>
      <c r="AK63" s="2"/>
      <c r="AL63" s="2"/>
      <c r="AM63" s="3"/>
      <c r="AN63" s="5"/>
      <c r="AO63" s="6"/>
      <c r="AP63" s="7"/>
      <c r="AQ63" s="3"/>
      <c r="AR63" s="5"/>
      <c r="AS63" s="6"/>
      <c r="AT63" s="7"/>
      <c r="AU63" s="3"/>
      <c r="AV63" s="5"/>
      <c r="AW63" s="6"/>
      <c r="AX63" s="7"/>
      <c r="AY63" s="2"/>
      <c r="AZ63" s="2"/>
      <c r="BA63" s="2"/>
      <c r="BB63" s="2"/>
      <c r="BC63" s="3"/>
      <c r="BD63" s="5"/>
      <c r="BE63" s="6"/>
      <c r="BF63" s="7"/>
      <c r="BG63" s="3"/>
      <c r="BH63" s="5"/>
      <c r="BI63" s="6"/>
      <c r="BJ63" s="7"/>
      <c r="BK63" s="3"/>
      <c r="BL63" s="5"/>
      <c r="BM63" s="6"/>
      <c r="BN63" s="7"/>
      <c r="BO63" s="2"/>
      <c r="BP63" s="2"/>
      <c r="BQ63" s="2"/>
      <c r="BR63" s="2"/>
    </row>
    <row r="64" spans="2:70" ht="18.75" customHeight="1" x14ac:dyDescent="0.25">
      <c r="B64" s="8" t="s">
        <v>289</v>
      </c>
      <c r="C64" s="3" t="s">
        <v>289</v>
      </c>
      <c r="D64" s="3"/>
      <c r="E64" s="5" t="s">
        <v>285</v>
      </c>
      <c r="F64" s="5" t="s">
        <v>256</v>
      </c>
      <c r="G64" s="6" t="str">
        <f ca="1">IFERROR(__xludf.DUMMYFUNCTION("GOOGLETRANSLATE(B64,""ja"",""ko"")"),"2 구슬 추가 푸른 김")</f>
        <v>2 구슬 추가 푸른 김</v>
      </c>
      <c r="H64" s="6"/>
      <c r="I64" s="7" t="str">
        <f ca="1">IFERROR(__xludf.DUMMYFUNCTION("GOOGLETRANSLATE(B64,""ja"",""zh"")"),"2球添加绿海藻")</f>
        <v>2球添加绿海藻</v>
      </c>
      <c r="J64" s="7"/>
      <c r="K64" s="3" t="s">
        <v>289</v>
      </c>
      <c r="L64" s="3"/>
      <c r="M64" s="5" t="s">
        <v>285</v>
      </c>
      <c r="N64" s="5" t="s">
        <v>256</v>
      </c>
      <c r="O64" s="6" t="str">
        <f ca="1">IFERROR(__xludf.DUMMYFUNCTION("GOOGLETRANSLATE(B64,""ja"",""ko"")"),"2 구슬 추가 푸른 김")</f>
        <v>2 구슬 추가 푸른 김</v>
      </c>
      <c r="P64" s="6"/>
      <c r="Q64" s="7" t="str">
        <f ca="1">IFERROR(__xludf.DUMMYFUNCTION("GOOGLETRANSLATE(B64,""ja"",""zh"")"),"2球添加绿海藻")</f>
        <v>2球添加绿海藻</v>
      </c>
      <c r="R64" s="7"/>
      <c r="S64" s="3" t="s">
        <v>290</v>
      </c>
      <c r="T64" s="5" t="str">
        <f ca="1">IFERROR(__xludf.DUMMYFUNCTION("GOOGLETRANSLATE(S64,""ja"",""en"")"),"2 balls blue")</f>
        <v>2 balls blue</v>
      </c>
      <c r="U64" s="6" t="str">
        <f ca="1">IFERROR(__xludf.DUMMYFUNCTION("GOOGLETRANSLATE(S64,""ja"",""ko"")"),"2 구슬 블루")</f>
        <v>2 구슬 블루</v>
      </c>
      <c r="V64" s="7" t="str">
        <f ca="1">IFERROR(__xludf.DUMMYFUNCTION("GOOGLETRANSLATE(S64,""ja"",""zh"")"),"2个蓝色球")</f>
        <v>2个蓝色球</v>
      </c>
      <c r="W64" s="3"/>
      <c r="X64" s="5"/>
      <c r="Y64" s="6"/>
      <c r="Z64" s="7"/>
      <c r="AA64" s="3"/>
      <c r="AB64" s="5"/>
      <c r="AC64" s="6"/>
      <c r="AD64" s="7"/>
      <c r="AE64" s="3"/>
      <c r="AF64" s="5"/>
      <c r="AG64" s="6"/>
      <c r="AH64" s="7"/>
      <c r="AI64" s="2"/>
      <c r="AJ64" s="2"/>
      <c r="AK64" s="2"/>
      <c r="AL64" s="2"/>
      <c r="AM64" s="3"/>
      <c r="AN64" s="5"/>
      <c r="AO64" s="6"/>
      <c r="AP64" s="7"/>
      <c r="AQ64" s="3"/>
      <c r="AR64" s="5"/>
      <c r="AS64" s="6"/>
      <c r="AT64" s="7"/>
      <c r="AU64" s="3"/>
      <c r="AV64" s="5"/>
      <c r="AW64" s="6"/>
      <c r="AX64" s="7"/>
      <c r="AY64" s="2"/>
      <c r="AZ64" s="2"/>
      <c r="BA64" s="2"/>
      <c r="BB64" s="2"/>
      <c r="BC64" s="3"/>
      <c r="BD64" s="5"/>
      <c r="BE64" s="6"/>
      <c r="BF64" s="7"/>
      <c r="BG64" s="3"/>
      <c r="BH64" s="5"/>
      <c r="BI64" s="6"/>
      <c r="BJ64" s="7"/>
      <c r="BK64" s="3"/>
      <c r="BL64" s="5"/>
      <c r="BM64" s="6"/>
      <c r="BN64" s="7"/>
      <c r="BO64" s="2"/>
      <c r="BP64" s="2"/>
      <c r="BQ64" s="2"/>
      <c r="BR64" s="2"/>
    </row>
    <row r="65" spans="2:70" ht="18.75" customHeight="1" x14ac:dyDescent="0.25">
      <c r="B65" s="8" t="s">
        <v>281</v>
      </c>
      <c r="C65" s="3" t="s">
        <v>281</v>
      </c>
      <c r="D65" s="3"/>
      <c r="E65" s="5" t="s">
        <v>282</v>
      </c>
      <c r="F65" s="5" t="s">
        <v>248</v>
      </c>
      <c r="G65" s="6" t="str">
        <f ca="1">IFERROR(__xludf.DUMMYFUNCTION("GOOGLETRANSLATE(B65,""ja"",""ko"")"),"1.5 구슬 추가 극태")</f>
        <v>1.5 구슬 추가 극태</v>
      </c>
      <c r="H65" s="6"/>
      <c r="I65" s="7" t="str">
        <f ca="1">IFERROR(__xludf.DUMMYFUNCTION("GOOGLETRANSLATE(B65,""ja"",""zh"")"),"1.5球加厚")</f>
        <v>1.5球加厚</v>
      </c>
      <c r="J65" s="7"/>
      <c r="K65" s="3" t="s">
        <v>281</v>
      </c>
      <c r="L65" s="3"/>
      <c r="M65" s="5" t="s">
        <v>282</v>
      </c>
      <c r="N65" s="5" t="s">
        <v>248</v>
      </c>
      <c r="O65" s="6" t="str">
        <f ca="1">IFERROR(__xludf.DUMMYFUNCTION("GOOGLETRANSLATE(B65,""ja"",""ko"")"),"1.5 구슬 추가 극태")</f>
        <v>1.5 구슬 추가 극태</v>
      </c>
      <c r="P65" s="6"/>
      <c r="Q65" s="7" t="str">
        <f ca="1">IFERROR(__xludf.DUMMYFUNCTION("GOOGLETRANSLATE(B65,""ja"",""zh"")"),"1.5球加厚")</f>
        <v>1.5球加厚</v>
      </c>
      <c r="R65" s="7"/>
      <c r="S65" s="3" t="s">
        <v>283</v>
      </c>
      <c r="T65" s="5" t="str">
        <f ca="1">IFERROR(__xludf.DUMMYFUNCTION("GOOGLETRANSLATE(S65,""ja"",""en"")"),"1.5 balls thick")</f>
        <v>1.5 balls thick</v>
      </c>
      <c r="U65" s="6" t="str">
        <f ca="1">IFERROR(__xludf.DUMMYFUNCTION("GOOGLETRANSLATE(S65,""ja"",""ko"")"),"1.5 구슬 태")</f>
        <v>1.5 구슬 태</v>
      </c>
      <c r="V65" s="7" t="str">
        <f ca="1">IFERROR(__xludf.DUMMYFUNCTION("GOOGLETRANSLATE(S65,""ja"",""zh"")"),"1.5球厚")</f>
        <v>1.5球厚</v>
      </c>
      <c r="W65" s="3"/>
      <c r="X65" s="5"/>
      <c r="Y65" s="6"/>
      <c r="Z65" s="7"/>
      <c r="AA65" s="3"/>
      <c r="AB65" s="5"/>
      <c r="AC65" s="6"/>
      <c r="AD65" s="7"/>
      <c r="AE65" s="3"/>
      <c r="AF65" s="5"/>
      <c r="AG65" s="6"/>
      <c r="AH65" s="7"/>
      <c r="AI65" s="2"/>
      <c r="AJ65" s="2"/>
      <c r="AK65" s="2"/>
      <c r="AL65" s="2"/>
      <c r="AM65" s="3"/>
      <c r="AN65" s="5"/>
      <c r="AO65" s="6"/>
      <c r="AP65" s="7"/>
      <c r="AQ65" s="3"/>
      <c r="AR65" s="5"/>
      <c r="AS65" s="6"/>
      <c r="AT65" s="7"/>
      <c r="AU65" s="3"/>
      <c r="AV65" s="5"/>
      <c r="AW65" s="6"/>
      <c r="AX65" s="7"/>
      <c r="AY65" s="2"/>
      <c r="AZ65" s="2"/>
      <c r="BA65" s="2"/>
      <c r="BB65" s="2"/>
      <c r="BC65" s="3"/>
      <c r="BD65" s="5"/>
      <c r="BE65" s="6"/>
      <c r="BF65" s="7"/>
      <c r="BG65" s="3"/>
      <c r="BH65" s="5"/>
      <c r="BI65" s="6"/>
      <c r="BJ65" s="7"/>
      <c r="BK65" s="3"/>
      <c r="BL65" s="5"/>
      <c r="BM65" s="6"/>
      <c r="BN65" s="7"/>
      <c r="BO65" s="2"/>
      <c r="BP65" s="2"/>
      <c r="BQ65" s="2"/>
      <c r="BR65" s="2"/>
    </row>
    <row r="66" spans="2:70" ht="18.75" customHeight="1" x14ac:dyDescent="0.25">
      <c r="B66" s="8" t="s">
        <v>291</v>
      </c>
      <c r="C66" s="3" t="s">
        <v>292</v>
      </c>
      <c r="D66" s="3"/>
      <c r="E66" s="5" t="s">
        <v>285</v>
      </c>
      <c r="F66" s="5" t="s">
        <v>248</v>
      </c>
      <c r="G66" s="6" t="str">
        <f ca="1">IFERROR(__xludf.DUMMYFUNCTION("GOOGLETRANSLATE(B66,""ja"",""ko"")"),"2옥 추가 극태")</f>
        <v>2옥 추가 극태</v>
      </c>
      <c r="H66" s="6"/>
      <c r="I66" s="7" t="str">
        <f ca="1">IFERROR(__xludf.DUMMYFUNCTION("GOOGLETRANSLATE(B66,""ja"",""zh"")"),"2 个球加厚")</f>
        <v>2 个球加厚</v>
      </c>
      <c r="J66" s="7"/>
      <c r="K66" s="3" t="s">
        <v>292</v>
      </c>
      <c r="L66" s="3"/>
      <c r="M66" s="5" t="s">
        <v>285</v>
      </c>
      <c r="N66" s="5" t="s">
        <v>248</v>
      </c>
      <c r="O66" s="6" t="str">
        <f ca="1">IFERROR(__xludf.DUMMYFUNCTION("GOOGLETRANSLATE(B66,""ja"",""ko"")"),"2옥 추가 극태")</f>
        <v>2옥 추가 극태</v>
      </c>
      <c r="P66" s="6"/>
      <c r="Q66" s="7" t="str">
        <f ca="1">IFERROR(__xludf.DUMMYFUNCTION("GOOGLETRANSLATE(B66,""ja"",""zh"")"),"2 个球加厚")</f>
        <v>2 个球加厚</v>
      </c>
      <c r="R66" s="7"/>
      <c r="S66" s="3" t="s">
        <v>293</v>
      </c>
      <c r="T66" s="5" t="str">
        <f ca="1">IFERROR(__xludf.DUMMYFUNCTION("GOOGLETRANSLATE(S66,""ja"",""en"")"),"2 balls thick")</f>
        <v>2 balls thick</v>
      </c>
      <c r="U66" s="6" t="str">
        <f ca="1">IFERROR(__xludf.DUMMYFUNCTION("GOOGLETRANSLATE(S66,""ja"",""ko"")"),"2 구슬 태")</f>
        <v>2 구슬 태</v>
      </c>
      <c r="V66" s="7" t="str">
        <f ca="1">IFERROR(__xludf.DUMMYFUNCTION("GOOGLETRANSLATE(S66,""ja"",""zh"")"),"2个球厚")</f>
        <v>2个球厚</v>
      </c>
      <c r="W66" s="3"/>
      <c r="X66" s="5"/>
      <c r="Y66" s="6"/>
      <c r="Z66" s="7"/>
      <c r="AA66" s="3"/>
      <c r="AB66" s="5"/>
      <c r="AC66" s="6"/>
      <c r="AD66" s="7"/>
      <c r="AE66" s="3"/>
      <c r="AF66" s="5"/>
      <c r="AG66" s="6"/>
      <c r="AH66" s="7"/>
      <c r="AI66" s="2"/>
      <c r="AJ66" s="2"/>
      <c r="AK66" s="2"/>
      <c r="AL66" s="2"/>
      <c r="AM66" s="3"/>
      <c r="AN66" s="5"/>
      <c r="AO66" s="6"/>
      <c r="AP66" s="7"/>
      <c r="AQ66" s="3"/>
      <c r="AR66" s="5"/>
      <c r="AS66" s="6"/>
      <c r="AT66" s="7"/>
      <c r="AU66" s="3"/>
      <c r="AV66" s="5"/>
      <c r="AW66" s="6"/>
      <c r="AX66" s="7"/>
      <c r="AY66" s="2"/>
      <c r="AZ66" s="2"/>
      <c r="BA66" s="2"/>
      <c r="BB66" s="2"/>
      <c r="BC66" s="3"/>
      <c r="BD66" s="5"/>
      <c r="BE66" s="6"/>
      <c r="BF66" s="7"/>
      <c r="BG66" s="3"/>
      <c r="BH66" s="5"/>
      <c r="BI66" s="6"/>
      <c r="BJ66" s="7"/>
      <c r="BK66" s="3"/>
      <c r="BL66" s="5"/>
      <c r="BM66" s="6"/>
      <c r="BN66" s="7"/>
      <c r="BO66" s="2"/>
      <c r="BP66" s="2"/>
      <c r="BQ66" s="2"/>
      <c r="BR66" s="2"/>
    </row>
    <row r="67" spans="2:70" ht="18.75" customHeight="1" x14ac:dyDescent="0.25">
      <c r="B67" s="8" t="s">
        <v>287</v>
      </c>
      <c r="C67" s="3" t="s">
        <v>287</v>
      </c>
      <c r="D67" s="3"/>
      <c r="E67" s="5" t="s">
        <v>282</v>
      </c>
      <c r="F67" s="5" t="s">
        <v>256</v>
      </c>
      <c r="G67" s="6" t="str">
        <f ca="1">IFERROR(__xludf.DUMMYFUNCTION("GOOGLETRANSLATE(B67,""ja"",""ko"")"),"1.5 구슬 추가 푸른 김")</f>
        <v>1.5 구슬 추가 푸른 김</v>
      </c>
      <c r="H67" s="6"/>
      <c r="I67" s="7" t="str">
        <f ca="1">IFERROR(__xludf.DUMMYFUNCTION("GOOGLETRANSLATE(B67,""ja"",""zh"")"),"1.5球添加绿海藻")</f>
        <v>1.5球添加绿海藻</v>
      </c>
      <c r="J67" s="7"/>
      <c r="K67" s="3" t="s">
        <v>287</v>
      </c>
      <c r="L67" s="3"/>
      <c r="M67" s="5" t="s">
        <v>282</v>
      </c>
      <c r="N67" s="5" t="s">
        <v>256</v>
      </c>
      <c r="O67" s="6" t="str">
        <f ca="1">IFERROR(__xludf.DUMMYFUNCTION("GOOGLETRANSLATE(B67,""ja"",""ko"")"),"1.5 구슬 추가 푸른 김")</f>
        <v>1.5 구슬 추가 푸른 김</v>
      </c>
      <c r="P67" s="6"/>
      <c r="Q67" s="7" t="str">
        <f ca="1">IFERROR(__xludf.DUMMYFUNCTION("GOOGLETRANSLATE(B67,""ja"",""zh"")"),"1.5球添加绿海藻")</f>
        <v>1.5球添加绿海藻</v>
      </c>
      <c r="R67" s="7"/>
      <c r="S67" s="3" t="s">
        <v>288</v>
      </c>
      <c r="T67" s="5" t="str">
        <f ca="1">IFERROR(__xludf.DUMMYFUNCTION("GOOGLETRANSLATE(S67,""ja"",""en"")"),"1.5 balls blue")</f>
        <v>1.5 balls blue</v>
      </c>
      <c r="U67" s="6" t="str">
        <f ca="1">IFERROR(__xludf.DUMMYFUNCTION("GOOGLETRANSLATE(S67,""ja"",""ko"")"),"1.5 구슬 청")</f>
        <v>1.5 구슬 청</v>
      </c>
      <c r="V67" s="7" t="str">
        <f ca="1">IFERROR(__xludf.DUMMYFUNCTION("GOOGLETRANSLATE(S67,""ja"",""zh"")"),"1.5球蓝色")</f>
        <v>1.5球蓝色</v>
      </c>
      <c r="W67" s="3"/>
      <c r="X67" s="5"/>
      <c r="Y67" s="6"/>
      <c r="Z67" s="7"/>
      <c r="AA67" s="3"/>
      <c r="AB67" s="5"/>
      <c r="AC67" s="6"/>
      <c r="AD67" s="7"/>
      <c r="AE67" s="3"/>
      <c r="AF67" s="5"/>
      <c r="AG67" s="6"/>
      <c r="AH67" s="7"/>
      <c r="AI67" s="2"/>
      <c r="AJ67" s="2"/>
      <c r="AK67" s="2"/>
      <c r="AL67" s="2"/>
      <c r="AM67" s="3"/>
      <c r="AN67" s="5"/>
      <c r="AO67" s="6"/>
      <c r="AP67" s="7"/>
      <c r="AQ67" s="3"/>
      <c r="AR67" s="5"/>
      <c r="AS67" s="6"/>
      <c r="AT67" s="7"/>
      <c r="AU67" s="3"/>
      <c r="AV67" s="5"/>
      <c r="AW67" s="6"/>
      <c r="AX67" s="7"/>
      <c r="AY67" s="2"/>
      <c r="AZ67" s="2"/>
      <c r="BA67" s="2"/>
      <c r="BB67" s="2"/>
      <c r="BC67" s="3"/>
      <c r="BD67" s="5"/>
      <c r="BE67" s="6"/>
      <c r="BF67" s="7"/>
      <c r="BG67" s="3"/>
      <c r="BH67" s="5"/>
      <c r="BI67" s="6"/>
      <c r="BJ67" s="7"/>
      <c r="BK67" s="3"/>
      <c r="BL67" s="5"/>
      <c r="BM67" s="6"/>
      <c r="BN67" s="7"/>
      <c r="BO67" s="2"/>
      <c r="BP67" s="2"/>
      <c r="BQ67" s="2"/>
      <c r="BR67" s="2"/>
    </row>
    <row r="68" spans="2:70" ht="18.75" customHeight="1" x14ac:dyDescent="0.25">
      <c r="B68" s="8" t="s">
        <v>289</v>
      </c>
      <c r="C68" s="3" t="s">
        <v>289</v>
      </c>
      <c r="D68" s="3"/>
      <c r="E68" s="5" t="s">
        <v>285</v>
      </c>
      <c r="F68" s="5" t="s">
        <v>256</v>
      </c>
      <c r="G68" s="6" t="str">
        <f ca="1">IFERROR(__xludf.DUMMYFUNCTION("GOOGLETRANSLATE(B68,""ja"",""ko"")"),"2 구슬 추가 푸른 김")</f>
        <v>2 구슬 추가 푸른 김</v>
      </c>
      <c r="H68" s="6"/>
      <c r="I68" s="7" t="str">
        <f ca="1">IFERROR(__xludf.DUMMYFUNCTION("GOOGLETRANSLATE(B68,""ja"",""zh"")"),"2球添加绿海藻")</f>
        <v>2球添加绿海藻</v>
      </c>
      <c r="J68" s="7"/>
      <c r="K68" s="3" t="s">
        <v>289</v>
      </c>
      <c r="L68" s="3"/>
      <c r="M68" s="5" t="s">
        <v>285</v>
      </c>
      <c r="N68" s="5" t="s">
        <v>256</v>
      </c>
      <c r="O68" s="6" t="str">
        <f ca="1">IFERROR(__xludf.DUMMYFUNCTION("GOOGLETRANSLATE(B68,""ja"",""ko"")"),"2 구슬 추가 푸른 김")</f>
        <v>2 구슬 추가 푸른 김</v>
      </c>
      <c r="P68" s="6"/>
      <c r="Q68" s="7" t="str">
        <f ca="1">IFERROR(__xludf.DUMMYFUNCTION("GOOGLETRANSLATE(B68,""ja"",""zh"")"),"2球添加绿海藻")</f>
        <v>2球添加绿海藻</v>
      </c>
      <c r="R68" s="7"/>
      <c r="S68" s="3" t="s">
        <v>290</v>
      </c>
      <c r="T68" s="5" t="str">
        <f ca="1">IFERROR(__xludf.DUMMYFUNCTION("GOOGLETRANSLATE(S68,""ja"",""en"")"),"2 balls blue")</f>
        <v>2 balls blue</v>
      </c>
      <c r="U68" s="6" t="str">
        <f ca="1">IFERROR(__xludf.DUMMYFUNCTION("GOOGLETRANSLATE(S68,""ja"",""ko"")"),"2 구슬 블루")</f>
        <v>2 구슬 블루</v>
      </c>
      <c r="V68" s="7" t="str">
        <f ca="1">IFERROR(__xludf.DUMMYFUNCTION("GOOGLETRANSLATE(S68,""ja"",""zh"")"),"2个蓝色球")</f>
        <v>2个蓝色球</v>
      </c>
      <c r="W68" s="3"/>
      <c r="X68" s="5"/>
      <c r="Y68" s="6"/>
      <c r="Z68" s="7"/>
      <c r="AA68" s="3"/>
      <c r="AB68" s="5"/>
      <c r="AC68" s="6"/>
      <c r="AD68" s="7"/>
      <c r="AE68" s="3"/>
      <c r="AF68" s="5"/>
      <c r="AG68" s="6"/>
      <c r="AH68" s="7"/>
      <c r="AI68" s="2"/>
      <c r="AJ68" s="2"/>
      <c r="AK68" s="2"/>
      <c r="AL68" s="2"/>
      <c r="AM68" s="3"/>
      <c r="AN68" s="5"/>
      <c r="AO68" s="6"/>
      <c r="AP68" s="7"/>
      <c r="AQ68" s="3"/>
      <c r="AR68" s="5"/>
      <c r="AS68" s="6"/>
      <c r="AT68" s="7"/>
      <c r="AU68" s="3"/>
      <c r="AV68" s="5"/>
      <c r="AW68" s="6"/>
      <c r="AX68" s="7"/>
      <c r="AY68" s="2"/>
      <c r="AZ68" s="2"/>
      <c r="BA68" s="2"/>
      <c r="BB68" s="2"/>
      <c r="BC68" s="3"/>
      <c r="BD68" s="5"/>
      <c r="BE68" s="6"/>
      <c r="BF68" s="7"/>
      <c r="BG68" s="3"/>
      <c r="BH68" s="5"/>
      <c r="BI68" s="6"/>
      <c r="BJ68" s="7"/>
      <c r="BK68" s="3"/>
      <c r="BL68" s="5"/>
      <c r="BM68" s="6"/>
      <c r="BN68" s="7"/>
      <c r="BO68" s="2"/>
      <c r="BP68" s="2"/>
      <c r="BQ68" s="2"/>
      <c r="BR68" s="2"/>
    </row>
    <row r="69" spans="2:70" ht="18.75" customHeight="1" x14ac:dyDescent="0.25">
      <c r="B69" s="8" t="s">
        <v>294</v>
      </c>
      <c r="C69" s="3" t="s">
        <v>294</v>
      </c>
      <c r="D69" s="3"/>
      <c r="E69" s="5" t="s">
        <v>295</v>
      </c>
      <c r="F69" s="5"/>
      <c r="G69" s="6" t="str">
        <f ca="1">IFERROR(__xludf.DUMMYFUNCTION("GOOGLETRANSLATE(B69,""ja"",""ko"")"),"부드러운 쇠고기 덮밥")</f>
        <v>부드러운 쇠고기 덮밥</v>
      </c>
      <c r="H69" s="6"/>
      <c r="I69" s="7" t="str">
        <f ca="1">IFERROR(__xludf.DUMMYFUNCTION("GOOGLETRANSLATE(B69,""ja"",""zh"")"),"软牛肉盖饭")</f>
        <v>软牛肉盖饭</v>
      </c>
      <c r="J69" s="7"/>
      <c r="K69" s="3" t="s">
        <v>294</v>
      </c>
      <c r="L69" s="3"/>
      <c r="M69" s="5" t="s">
        <v>295</v>
      </c>
      <c r="N69" s="5"/>
      <c r="O69" s="6" t="str">
        <f ca="1">IFERROR(__xludf.DUMMYFUNCTION("GOOGLETRANSLATE(B69,""ja"",""ko"")"),"부드러운 쇠고기 덮밥")</f>
        <v>부드러운 쇠고기 덮밥</v>
      </c>
      <c r="P69" s="6"/>
      <c r="Q69" s="7" t="str">
        <f ca="1">IFERROR(__xludf.DUMMYFUNCTION("GOOGLETRANSLATE(B69,""ja"",""zh"")"),"软牛肉盖饭")</f>
        <v>软牛肉盖饭</v>
      </c>
      <c r="R69" s="7"/>
      <c r="S69" s="3" t="s">
        <v>296</v>
      </c>
      <c r="T69" s="5" t="str">
        <f ca="1">IFERROR(__xludf.DUMMYFUNCTION("GOOGLETRANSLATE(S69,""ja"",""en"")"),"Beef bowl")</f>
        <v>Beef bowl</v>
      </c>
      <c r="U69" s="6" t="str">
        <f ca="1">IFERROR(__xludf.DUMMYFUNCTION("GOOGLETRANSLATE(S69,""ja"",""ko"")"),"쇠고기 덮밥")</f>
        <v>쇠고기 덮밥</v>
      </c>
      <c r="V69" s="7" t="str">
        <f ca="1">IFERROR(__xludf.DUMMYFUNCTION("GOOGLETRANSLATE(S69,""ja"",""zh"")"),"牛肉盖饭")</f>
        <v>牛肉盖饭</v>
      </c>
      <c r="W69" s="3"/>
      <c r="X69" s="5"/>
      <c r="Y69" s="6"/>
      <c r="Z69" s="7"/>
      <c r="AA69" s="3"/>
      <c r="AB69" s="5"/>
      <c r="AC69" s="6"/>
      <c r="AD69" s="7"/>
      <c r="AE69" s="3"/>
      <c r="AF69" s="5"/>
      <c r="AG69" s="6"/>
      <c r="AH69" s="7"/>
      <c r="AI69" s="2"/>
      <c r="AJ69" s="2"/>
      <c r="AK69" s="2"/>
      <c r="AL69" s="2"/>
      <c r="AM69" s="3"/>
      <c r="AN69" s="5"/>
      <c r="AO69" s="6"/>
      <c r="AP69" s="7"/>
      <c r="AQ69" s="3"/>
      <c r="AR69" s="5"/>
      <c r="AS69" s="6"/>
      <c r="AT69" s="7"/>
      <c r="AU69" s="3"/>
      <c r="AV69" s="5"/>
      <c r="AW69" s="6"/>
      <c r="AX69" s="7"/>
      <c r="AY69" s="2"/>
      <c r="AZ69" s="2"/>
      <c r="BA69" s="2"/>
      <c r="BB69" s="2"/>
      <c r="BC69" s="3"/>
      <c r="BD69" s="5"/>
      <c r="BE69" s="6"/>
      <c r="BF69" s="7"/>
      <c r="BG69" s="3"/>
      <c r="BH69" s="5"/>
      <c r="BI69" s="6"/>
      <c r="BJ69" s="7"/>
      <c r="BK69" s="3"/>
      <c r="BL69" s="5"/>
      <c r="BM69" s="6"/>
      <c r="BN69" s="7"/>
      <c r="BO69" s="2"/>
      <c r="BP69" s="2"/>
      <c r="BQ69" s="2"/>
      <c r="BR69" s="2"/>
    </row>
    <row r="70" spans="2:70" ht="18.75" customHeight="1" x14ac:dyDescent="0.25">
      <c r="B70" s="8" t="s">
        <v>297</v>
      </c>
      <c r="C70" s="3" t="s">
        <v>297</v>
      </c>
      <c r="D70" s="3"/>
      <c r="E70" s="5" t="s">
        <v>298</v>
      </c>
      <c r="F70" s="5"/>
      <c r="G70" s="6" t="str">
        <f ca="1">IFERROR(__xludf.DUMMYFUNCTION("GOOGLETRANSLATE(B70,""ja"",""ko"")"),"숯불 카오루 야키토리동동")</f>
        <v>숯불 카오루 야키토리동동</v>
      </c>
      <c r="H70" s="6"/>
      <c r="I70" s="7" t="str">
        <f ca="1">IFERROR(__xludf.DUMMYFUNCTION("GOOGLETRANSLATE(B70,""ja"",""zh"")"),"炭香烤鸡肉串碗")</f>
        <v>炭香烤鸡肉串碗</v>
      </c>
      <c r="J70" s="7"/>
      <c r="K70" s="3" t="s">
        <v>297</v>
      </c>
      <c r="L70" s="3"/>
      <c r="M70" s="5" t="s">
        <v>298</v>
      </c>
      <c r="N70" s="5"/>
      <c r="O70" s="6" t="str">
        <f ca="1">IFERROR(__xludf.DUMMYFUNCTION("GOOGLETRANSLATE(B70,""ja"",""ko"")"),"숯불 카오루 야키토리동동")</f>
        <v>숯불 카오루 야키토리동동</v>
      </c>
      <c r="P70" s="6"/>
      <c r="Q70" s="7" t="str">
        <f ca="1">IFERROR(__xludf.DUMMYFUNCTION("GOOGLETRANSLATE(B70,""ja"",""zh"")"),"炭香烤鸡肉串碗")</f>
        <v>炭香烤鸡肉串碗</v>
      </c>
      <c r="R70" s="7"/>
      <c r="S70" s="3" t="s">
        <v>299</v>
      </c>
      <c r="T70" s="5" t="str">
        <f ca="1">IFERROR(__xludf.DUMMYFUNCTION("GOOGLETRANSLATE(S70,""ja"",""en"")"),"Yakitori bowl")</f>
        <v>Yakitori bowl</v>
      </c>
      <c r="U70" s="6" t="str">
        <f ca="1">IFERROR(__xludf.DUMMYFUNCTION("GOOGLETRANSLATE(S70,""ja"",""ko"")"),"야키토리동")</f>
        <v>야키토리동</v>
      </c>
      <c r="V70" s="7" t="str">
        <f ca="1">IFERROR(__xludf.DUMMYFUNCTION("GOOGLETRANSLATE(S70,""ja"",""zh"")"),"烤鸡肉串碗")</f>
        <v>烤鸡肉串碗</v>
      </c>
      <c r="W70" s="3"/>
      <c r="X70" s="5"/>
      <c r="Y70" s="6"/>
      <c r="Z70" s="7"/>
      <c r="AA70" s="3"/>
      <c r="AB70" s="5"/>
      <c r="AC70" s="6"/>
      <c r="AD70" s="7"/>
      <c r="AE70" s="3"/>
      <c r="AF70" s="5"/>
      <c r="AG70" s="6"/>
      <c r="AH70" s="7"/>
      <c r="AI70" s="2"/>
      <c r="AJ70" s="2"/>
      <c r="AK70" s="2"/>
      <c r="AL70" s="2"/>
      <c r="AM70" s="3"/>
      <c r="AN70" s="5"/>
      <c r="AO70" s="6"/>
      <c r="AP70" s="7"/>
      <c r="AQ70" s="3"/>
      <c r="AR70" s="5"/>
      <c r="AS70" s="6"/>
      <c r="AT70" s="7"/>
      <c r="AU70" s="3"/>
      <c r="AV70" s="5"/>
      <c r="AW70" s="6"/>
      <c r="AX70" s="7"/>
      <c r="AY70" s="2"/>
      <c r="AZ70" s="2"/>
      <c r="BA70" s="2"/>
      <c r="BB70" s="2"/>
      <c r="BC70" s="3"/>
      <c r="BD70" s="5"/>
      <c r="BE70" s="6"/>
      <c r="BF70" s="7"/>
      <c r="BG70" s="3"/>
      <c r="BH70" s="5"/>
      <c r="BI70" s="6"/>
      <c r="BJ70" s="7"/>
      <c r="BK70" s="3"/>
      <c r="BL70" s="5"/>
      <c r="BM70" s="6"/>
      <c r="BN70" s="7"/>
      <c r="BO70" s="2"/>
      <c r="BP70" s="2"/>
      <c r="BQ70" s="2"/>
      <c r="BR70" s="2"/>
    </row>
    <row r="71" spans="2:70" ht="18.75" customHeight="1" x14ac:dyDescent="0.25">
      <c r="B71" s="8" t="s">
        <v>300</v>
      </c>
      <c r="C71" s="3" t="s">
        <v>301</v>
      </c>
      <c r="D71" s="3" t="s">
        <v>294</v>
      </c>
      <c r="E71" s="5" t="s">
        <v>302</v>
      </c>
      <c r="F71" s="5"/>
      <c r="G71" s="6" t="str">
        <f ca="1">IFERROR(__xludf.DUMMYFUNCTION("GOOGLETRANSLATE(B71,""ja"",""ko"")"),"미니 부드러운 쇠고기 덮밥")</f>
        <v>미니 부드러운 쇠고기 덮밥</v>
      </c>
      <c r="H71" s="6"/>
      <c r="I71" s="7" t="str">
        <f ca="1">IFERROR(__xludf.DUMMYFUNCTION("GOOGLETRANSLATE(B71,""ja"",""zh"")"),"迷你软牛肉盖饭")</f>
        <v>迷你软牛肉盖饭</v>
      </c>
      <c r="J71" s="7"/>
      <c r="K71" s="3" t="s">
        <v>301</v>
      </c>
      <c r="L71" s="3" t="s">
        <v>294</v>
      </c>
      <c r="M71" s="5" t="s">
        <v>302</v>
      </c>
      <c r="N71" s="5"/>
      <c r="O71" s="6" t="str">
        <f ca="1">IFERROR(__xludf.DUMMYFUNCTION("GOOGLETRANSLATE(B71,""ja"",""ko"")"),"미니 부드러운 쇠고기 덮밥")</f>
        <v>미니 부드러운 쇠고기 덮밥</v>
      </c>
      <c r="P71" s="6"/>
      <c r="Q71" s="7" t="str">
        <f ca="1">IFERROR(__xludf.DUMMYFUNCTION("GOOGLETRANSLATE(B71,""ja"",""zh"")"),"迷你软牛肉盖饭")</f>
        <v>迷你软牛肉盖饭</v>
      </c>
      <c r="R71" s="7"/>
      <c r="S71" s="3" t="s">
        <v>300</v>
      </c>
      <c r="T71" s="5" t="str">
        <f ca="1">IFERROR(__xludf.DUMMYFUNCTION("GOOGLETRANSLATE(S71,""ja"",""en"")"),"Mini soft beef bowl")</f>
        <v>Mini soft beef bowl</v>
      </c>
      <c r="U71" s="6" t="str">
        <f ca="1">IFERROR(__xludf.DUMMYFUNCTION("GOOGLETRANSLATE(S71,""ja"",""ko"")"),"미니 부드러운 쇠고기 덮밥")</f>
        <v>미니 부드러운 쇠고기 덮밥</v>
      </c>
      <c r="V71" s="7" t="str">
        <f ca="1">IFERROR(__xludf.DUMMYFUNCTION("GOOGLETRANSLATE(S71,""ja"",""zh"")"),"迷你软牛肉盖饭")</f>
        <v>迷你软牛肉盖饭</v>
      </c>
      <c r="W71" s="3"/>
      <c r="X71" s="5"/>
      <c r="Y71" s="6"/>
      <c r="Z71" s="7"/>
      <c r="AA71" s="3"/>
      <c r="AB71" s="5"/>
      <c r="AC71" s="6"/>
      <c r="AD71" s="7"/>
      <c r="AE71" s="3"/>
      <c r="AF71" s="5"/>
      <c r="AG71" s="6"/>
      <c r="AH71" s="7"/>
      <c r="AI71" s="2"/>
      <c r="AJ71" s="2"/>
      <c r="AK71" s="2"/>
      <c r="AL71" s="2"/>
      <c r="AM71" s="3"/>
      <c r="AN71" s="5"/>
      <c r="AO71" s="6"/>
      <c r="AP71" s="7"/>
      <c r="AQ71" s="3"/>
      <c r="AR71" s="5"/>
      <c r="AS71" s="6"/>
      <c r="AT71" s="7"/>
      <c r="AU71" s="3"/>
      <c r="AV71" s="5"/>
      <c r="AW71" s="6"/>
      <c r="AX71" s="7"/>
      <c r="AY71" s="2"/>
      <c r="AZ71" s="2"/>
      <c r="BA71" s="2"/>
      <c r="BB71" s="2"/>
      <c r="BC71" s="3"/>
      <c r="BD71" s="5"/>
      <c r="BE71" s="6"/>
      <c r="BF71" s="7"/>
      <c r="BG71" s="3"/>
      <c r="BH71" s="5"/>
      <c r="BI71" s="6"/>
      <c r="BJ71" s="7"/>
      <c r="BK71" s="3"/>
      <c r="BL71" s="5"/>
      <c r="BM71" s="6"/>
      <c r="BN71" s="7"/>
      <c r="BO71" s="2"/>
      <c r="BP71" s="2"/>
      <c r="BQ71" s="2"/>
      <c r="BR71" s="2"/>
    </row>
    <row r="72" spans="2:70" ht="18.75" customHeight="1" x14ac:dyDescent="0.25">
      <c r="B72" s="8" t="s">
        <v>303</v>
      </c>
      <c r="C72" s="3" t="s">
        <v>301</v>
      </c>
      <c r="D72" s="3" t="s">
        <v>304</v>
      </c>
      <c r="E72" s="5" t="s">
        <v>305</v>
      </c>
      <c r="F72" s="5"/>
      <c r="G72" s="6" t="str">
        <f ca="1">IFERROR(__xludf.DUMMYFUNCTION("GOOGLETRANSLATE(B72,""ja"",""ko"")"),"미니 숯불 훈제 야키토리동동")</f>
        <v>미니 숯불 훈제 야키토리동동</v>
      </c>
      <c r="H72" s="6"/>
      <c r="I72" s="7" t="str">
        <f ca="1">IFERROR(__xludf.DUMMYFUNCTION("GOOGLETRANSLATE(B72,""ja"",""zh"")"),"迷你木炭烤串碗")</f>
        <v>迷你木炭烤串碗</v>
      </c>
      <c r="J72" s="7"/>
      <c r="K72" s="3" t="s">
        <v>301</v>
      </c>
      <c r="L72" s="3" t="s">
        <v>304</v>
      </c>
      <c r="M72" s="5" t="s">
        <v>305</v>
      </c>
      <c r="N72" s="5"/>
      <c r="O72" s="6" t="str">
        <f ca="1">IFERROR(__xludf.DUMMYFUNCTION("GOOGLETRANSLATE(B72,""ja"",""ko"")"),"미니 숯불 훈제 야키토리동동")</f>
        <v>미니 숯불 훈제 야키토리동동</v>
      </c>
      <c r="P72" s="6"/>
      <c r="Q72" s="7" t="str">
        <f ca="1">IFERROR(__xludf.DUMMYFUNCTION("GOOGLETRANSLATE(B72,""ja"",""zh"")"),"迷你木炭烤串碗")</f>
        <v>迷你木炭烤串碗</v>
      </c>
      <c r="R72" s="7"/>
      <c r="S72" s="3" t="s">
        <v>306</v>
      </c>
      <c r="T72" s="5" t="str">
        <f ca="1">IFERROR(__xludf.DUMMYFUNCTION("GOOGLETRANSLATE(S72,""ja"",""en"")"),"Mini yakitori bowl")</f>
        <v>Mini yakitori bowl</v>
      </c>
      <c r="U72" s="6" t="str">
        <f ca="1">IFERROR(__xludf.DUMMYFUNCTION("GOOGLETRANSLATE(S72,""ja"",""ko"")"),"미니 야키토리동동")</f>
        <v>미니 야키토리동동</v>
      </c>
      <c r="V72" s="7" t="str">
        <f ca="1">IFERROR(__xludf.DUMMYFUNCTION("GOOGLETRANSLATE(S72,""ja"",""zh"")"),"迷你烤鸡肉串碗")</f>
        <v>迷你烤鸡肉串碗</v>
      </c>
      <c r="W72" s="3"/>
      <c r="X72" s="5"/>
      <c r="Y72" s="6"/>
      <c r="Z72" s="7"/>
      <c r="AA72" s="3"/>
      <c r="AB72" s="5"/>
      <c r="AC72" s="6"/>
      <c r="AD72" s="7"/>
      <c r="AE72" s="3"/>
      <c r="AF72" s="5"/>
      <c r="AG72" s="6"/>
      <c r="AH72" s="7"/>
      <c r="AI72" s="2"/>
      <c r="AJ72" s="2"/>
      <c r="AK72" s="2"/>
      <c r="AL72" s="2"/>
      <c r="AM72" s="3"/>
      <c r="AN72" s="5"/>
      <c r="AO72" s="6"/>
      <c r="AP72" s="7"/>
      <c r="AQ72" s="3"/>
      <c r="AR72" s="5"/>
      <c r="AS72" s="6"/>
      <c r="AT72" s="7"/>
      <c r="AU72" s="3"/>
      <c r="AV72" s="5"/>
      <c r="AW72" s="6"/>
      <c r="AX72" s="7"/>
      <c r="AY72" s="2"/>
      <c r="AZ72" s="2"/>
      <c r="BA72" s="2"/>
      <c r="BB72" s="2"/>
      <c r="BC72" s="3"/>
      <c r="BD72" s="5"/>
      <c r="BE72" s="6"/>
      <c r="BF72" s="7"/>
      <c r="BG72" s="3"/>
      <c r="BH72" s="5"/>
      <c r="BI72" s="6"/>
      <c r="BJ72" s="7"/>
      <c r="BK72" s="3"/>
      <c r="BL72" s="5"/>
      <c r="BM72" s="6"/>
      <c r="BN72" s="7"/>
      <c r="BO72" s="2"/>
      <c r="BP72" s="2"/>
      <c r="BQ72" s="2"/>
      <c r="BR72" s="2"/>
    </row>
    <row r="73" spans="2:70" ht="18.75" customHeight="1" x14ac:dyDescent="0.25">
      <c r="B73" s="8" t="s">
        <v>307</v>
      </c>
      <c r="C73" s="3" t="s">
        <v>301</v>
      </c>
      <c r="D73" s="3" t="s">
        <v>308</v>
      </c>
      <c r="E73" s="5" t="s">
        <v>309</v>
      </c>
      <c r="F73" s="5"/>
      <c r="G73" s="6" t="str">
        <f ca="1">IFERROR(__xludf.DUMMYFUNCTION("GOOGLETRANSLATE(B73,""ja"",""ko"")"),"미니 푹신한 계란 밥")</f>
        <v>미니 푹신한 계란 밥</v>
      </c>
      <c r="H73" s="6"/>
      <c r="I73" s="7" t="str">
        <f ca="1">IFERROR(__xludf.DUMMYFUNCTION("GOOGLETRANSLATE(B73,""ja"",""zh"")"),"迷你蓬松蛋炒饭")</f>
        <v>迷你蓬松蛋炒饭</v>
      </c>
      <c r="J73" s="7"/>
      <c r="K73" s="3" t="s">
        <v>301</v>
      </c>
      <c r="L73" s="3" t="s">
        <v>308</v>
      </c>
      <c r="M73" s="5" t="s">
        <v>309</v>
      </c>
      <c r="N73" s="5"/>
      <c r="O73" s="6" t="str">
        <f ca="1">IFERROR(__xludf.DUMMYFUNCTION("GOOGLETRANSLATE(B73,""ja"",""ko"")"),"미니 푹신한 계란 밥")</f>
        <v>미니 푹신한 계란 밥</v>
      </c>
      <c r="P73" s="6"/>
      <c r="Q73" s="7" t="str">
        <f ca="1">IFERROR(__xludf.DUMMYFUNCTION("GOOGLETRANSLATE(B73,""ja"",""zh"")"),"迷你蓬松蛋炒饭")</f>
        <v>迷你蓬松蛋炒饭</v>
      </c>
      <c r="R73" s="7"/>
      <c r="S73" s="3" t="s">
        <v>310</v>
      </c>
      <c r="T73" s="5" t="str">
        <f ca="1">IFERROR(__xludf.DUMMYFUNCTION("GOOGLETRANSLATE(S73,""ja"",""en"")"),"Mini fluffy egg roll")</f>
        <v>Mini fluffy egg roll</v>
      </c>
      <c r="U73" s="6" t="str">
        <f ca="1">IFERROR(__xludf.DUMMYFUNCTION("GOOGLETRANSLATE(S73,""ja"",""ko"")"),"미니 푹신한 계란")</f>
        <v>미니 푹신한 계란</v>
      </c>
      <c r="V73" s="7" t="str">
        <f ca="1">IFERROR(__xludf.DUMMYFUNCTION("GOOGLETRANSLATE(S73,""ja"",""zh"")"),"迷你松软蛋卷")</f>
        <v>迷你松软蛋卷</v>
      </c>
      <c r="W73" s="3"/>
      <c r="X73" s="5"/>
      <c r="Y73" s="6"/>
      <c r="Z73" s="7"/>
      <c r="AA73" s="3"/>
      <c r="AB73" s="5"/>
      <c r="AC73" s="6"/>
      <c r="AD73" s="7"/>
      <c r="AE73" s="3"/>
      <c r="AF73" s="5"/>
      <c r="AG73" s="6"/>
      <c r="AH73" s="7"/>
      <c r="AI73" s="2"/>
      <c r="AJ73" s="2"/>
      <c r="AK73" s="2"/>
      <c r="AL73" s="2"/>
      <c r="AM73" s="3"/>
      <c r="AN73" s="5"/>
      <c r="AO73" s="6"/>
      <c r="AP73" s="7"/>
      <c r="AQ73" s="3"/>
      <c r="AR73" s="5"/>
      <c r="AS73" s="6"/>
      <c r="AT73" s="7"/>
      <c r="AU73" s="3"/>
      <c r="AV73" s="5"/>
      <c r="AW73" s="6"/>
      <c r="AX73" s="7"/>
      <c r="AY73" s="2"/>
      <c r="AZ73" s="2"/>
      <c r="BA73" s="2"/>
      <c r="BB73" s="2"/>
      <c r="BC73" s="3"/>
      <c r="BD73" s="5"/>
      <c r="BE73" s="6"/>
      <c r="BF73" s="7"/>
      <c r="BG73" s="3"/>
      <c r="BH73" s="5"/>
      <c r="BI73" s="6"/>
      <c r="BJ73" s="7"/>
      <c r="BK73" s="3"/>
      <c r="BL73" s="5"/>
      <c r="BM73" s="6"/>
      <c r="BN73" s="7"/>
      <c r="BO73" s="2"/>
      <c r="BP73" s="2"/>
      <c r="BQ73" s="2"/>
      <c r="BR73" s="2"/>
    </row>
    <row r="74" spans="2:70" ht="18.75" customHeight="1" x14ac:dyDescent="0.25">
      <c r="B74" s="8" t="s">
        <v>311</v>
      </c>
      <c r="C74" s="3" t="s">
        <v>301</v>
      </c>
      <c r="D74" s="3" t="s">
        <v>312</v>
      </c>
      <c r="E74" s="5" t="s">
        <v>313</v>
      </c>
      <c r="F74" s="5" t="s">
        <v>314</v>
      </c>
      <c r="G74" s="6" t="str">
        <f ca="1">IFERROR(__xludf.DUMMYFUNCTION("GOOGLETRANSLATE(B74,""ja"",""ko"")"),"미니 산 게 덮밥")</f>
        <v>미니 산 게 덮밥</v>
      </c>
      <c r="H74" s="6"/>
      <c r="I74" s="7" t="str">
        <f ca="1">IFERROR(__xludf.DUMMYFUNCTION("GOOGLETRANSLATE(B74,""ja"",""zh"")"),"迷你山挂丼")</f>
        <v>迷你山挂丼</v>
      </c>
      <c r="J74" s="7"/>
      <c r="K74" s="3" t="s">
        <v>301</v>
      </c>
      <c r="L74" s="3" t="s">
        <v>312</v>
      </c>
      <c r="M74" s="5" t="s">
        <v>313</v>
      </c>
      <c r="N74" s="5" t="s">
        <v>314</v>
      </c>
      <c r="O74" s="6" t="str">
        <f ca="1">IFERROR(__xludf.DUMMYFUNCTION("GOOGLETRANSLATE(B74,""ja"",""ko"")"),"미니 산 게 덮밥")</f>
        <v>미니 산 게 덮밥</v>
      </c>
      <c r="P74" s="6"/>
      <c r="Q74" s="7" t="str">
        <f ca="1">IFERROR(__xludf.DUMMYFUNCTION("GOOGLETRANSLATE(B74,""ja"",""zh"")"),"迷你山挂丼")</f>
        <v>迷你山挂丼</v>
      </c>
      <c r="R74" s="7"/>
      <c r="S74" s="3" t="s">
        <v>311</v>
      </c>
      <c r="T74" s="5" t="str">
        <f ca="1">IFERROR(__xludf.DUMMYFUNCTION("GOOGLETRANSLATE(S74,""ja"",""en"")"),"Mini Yamakakedon")</f>
        <v>Mini Yamakakedon</v>
      </c>
      <c r="U74" s="6" t="str">
        <f ca="1">IFERROR(__xludf.DUMMYFUNCTION("GOOGLETRANSLATE(S74,""ja"",""ko"")"),"미니 산 게 덮밥")</f>
        <v>미니 산 게 덮밥</v>
      </c>
      <c r="V74" s="7" t="str">
        <f ca="1">IFERROR(__xludf.DUMMYFUNCTION("GOOGLETRANSLATE(S74,""ja"",""zh"")"),"迷你山挂丼")</f>
        <v>迷你山挂丼</v>
      </c>
      <c r="W74" s="3"/>
      <c r="X74" s="5"/>
      <c r="Y74" s="6"/>
      <c r="Z74" s="7"/>
      <c r="AA74" s="3"/>
      <c r="AB74" s="5"/>
      <c r="AC74" s="6"/>
      <c r="AD74" s="7"/>
      <c r="AE74" s="3"/>
      <c r="AF74" s="5"/>
      <c r="AG74" s="6"/>
      <c r="AH74" s="7"/>
      <c r="AI74" s="2"/>
      <c r="AJ74" s="2"/>
      <c r="AK74" s="2"/>
      <c r="AL74" s="2"/>
      <c r="AM74" s="3"/>
      <c r="AN74" s="5"/>
      <c r="AO74" s="6"/>
      <c r="AP74" s="7"/>
      <c r="AQ74" s="3"/>
      <c r="AR74" s="5"/>
      <c r="AS74" s="6"/>
      <c r="AT74" s="7"/>
      <c r="AU74" s="3"/>
      <c r="AV74" s="5"/>
      <c r="AW74" s="6"/>
      <c r="AX74" s="7"/>
      <c r="AY74" s="2"/>
      <c r="AZ74" s="2"/>
      <c r="BA74" s="2"/>
      <c r="BB74" s="2"/>
      <c r="BC74" s="3"/>
      <c r="BD74" s="5"/>
      <c r="BE74" s="6"/>
      <c r="BF74" s="7"/>
      <c r="BG74" s="3"/>
      <c r="BH74" s="5"/>
      <c r="BI74" s="6"/>
      <c r="BJ74" s="7"/>
      <c r="BK74" s="3"/>
      <c r="BL74" s="5"/>
      <c r="BM74" s="6"/>
      <c r="BN74" s="7"/>
      <c r="BO74" s="2"/>
      <c r="BP74" s="2"/>
      <c r="BQ74" s="2"/>
      <c r="BR74" s="2"/>
    </row>
    <row r="75" spans="2:70" ht="18.75" customHeight="1" x14ac:dyDescent="0.25">
      <c r="B75" s="8" t="s">
        <v>315</v>
      </c>
      <c r="C75" s="3" t="s">
        <v>316</v>
      </c>
      <c r="D75" s="3" t="s">
        <v>125</v>
      </c>
      <c r="E75" s="5" t="s">
        <v>317</v>
      </c>
      <c r="F75" s="5" t="s">
        <v>118</v>
      </c>
      <c r="G75" s="6" t="str">
        <f ca="1">IFERROR(__xludf.DUMMYFUNCTION("GOOGLETRANSLATE(B75,""ja"",""ko"")"),"극단 두번 봐 めめこ")</f>
        <v>극단 두번 봐 めめこ</v>
      </c>
      <c r="H75" s="6"/>
      <c r="I75" s="7" t="str">
        <f ca="1">IFERROR(__xludf.DUMMYFUNCTION("GOOGLETRANSLATE(B75,""ja"",""zh"")"),"特厚蘑菇蘑菇")</f>
        <v>特厚蘑菇蘑菇</v>
      </c>
      <c r="J75" s="7"/>
      <c r="K75" s="3" t="s">
        <v>316</v>
      </c>
      <c r="L75" s="3" t="s">
        <v>125</v>
      </c>
      <c r="M75" s="5" t="s">
        <v>317</v>
      </c>
      <c r="N75" s="5" t="s">
        <v>118</v>
      </c>
      <c r="O75" s="6" t="str">
        <f ca="1">IFERROR(__xludf.DUMMYFUNCTION("GOOGLETRANSLATE(B75,""ja"",""ko"")"),"극단 두번 봐 めめこ")</f>
        <v>극단 두번 봐 めめこ</v>
      </c>
      <c r="P75" s="6"/>
      <c r="Q75" s="7" t="str">
        <f ca="1">IFERROR(__xludf.DUMMYFUNCTION("GOOGLETRANSLATE(B75,""ja"",""zh"")"),"特厚蘑菇蘑菇")</f>
        <v>特厚蘑菇蘑菇</v>
      </c>
      <c r="R75" s="7"/>
      <c r="S75" s="3" t="s">
        <v>316</v>
      </c>
      <c r="T75" s="5" t="str">
        <f ca="1">IFERROR(__xludf.DUMMYFUNCTION("GOOGLETRANSLATE(S75,""ja"",""en"")"),"Very Thick Meko Twice")</f>
        <v>Very Thick Meko Twice</v>
      </c>
      <c r="U75" s="6" t="str">
        <f ca="1">IFERROR(__xludf.DUMMYFUNCTION("GOOGLETRANSLATE(S75,""ja"",""ko"")"),"극태 두번 봐나메코")</f>
        <v>극태 두번 봐나메코</v>
      </c>
      <c r="V75" s="7" t="str">
        <f ca="1">IFERROR(__xludf.DUMMYFUNCTION("GOOGLETRANSLATE(S75,""ja"",""zh"")"),"非常厚的 Meko 两次")</f>
        <v>非常厚的 Meko 两次</v>
      </c>
      <c r="W75" s="3"/>
      <c r="X75" s="5"/>
      <c r="Y75" s="6"/>
      <c r="Z75" s="7"/>
      <c r="AA75" s="3"/>
      <c r="AB75" s="5"/>
      <c r="AC75" s="6"/>
      <c r="AD75" s="7"/>
      <c r="AE75" s="3"/>
      <c r="AF75" s="5"/>
      <c r="AG75" s="6"/>
      <c r="AH75" s="7"/>
      <c r="AI75" s="2"/>
      <c r="AJ75" s="2"/>
      <c r="AK75" s="2"/>
      <c r="AL75" s="2"/>
      <c r="AM75" s="3"/>
      <c r="AN75" s="5"/>
      <c r="AO75" s="6"/>
      <c r="AP75" s="7"/>
      <c r="AQ75" s="3"/>
      <c r="AR75" s="5"/>
      <c r="AS75" s="6"/>
      <c r="AT75" s="7"/>
      <c r="AU75" s="3"/>
      <c r="AV75" s="5"/>
      <c r="AW75" s="6"/>
      <c r="AX75" s="7"/>
      <c r="AY75" s="2"/>
      <c r="AZ75" s="2"/>
      <c r="BA75" s="2"/>
      <c r="BB75" s="2"/>
      <c r="BC75" s="3"/>
      <c r="BD75" s="5"/>
      <c r="BE75" s="6"/>
      <c r="BF75" s="7"/>
      <c r="BG75" s="3"/>
      <c r="BH75" s="5"/>
      <c r="BI75" s="6"/>
      <c r="BJ75" s="7"/>
      <c r="BK75" s="3"/>
      <c r="BL75" s="5"/>
      <c r="BM75" s="6"/>
      <c r="BN75" s="7"/>
      <c r="BO75" s="2"/>
      <c r="BP75" s="2"/>
      <c r="BQ75" s="2"/>
      <c r="BR75" s="2"/>
    </row>
    <row r="76" spans="2:70" ht="18.75" customHeight="1" x14ac:dyDescent="0.25">
      <c r="B76" s="8" t="s">
        <v>318</v>
      </c>
      <c r="C76" s="3" t="s">
        <v>319</v>
      </c>
      <c r="D76" s="3" t="s">
        <v>125</v>
      </c>
      <c r="E76" s="5" t="s">
        <v>317</v>
      </c>
      <c r="F76" s="5" t="s">
        <v>320</v>
      </c>
      <c r="G76" s="6" t="str">
        <f ca="1">IFERROR(__xludf.DUMMYFUNCTION("GOOGLETRANSLATE(B76,""ja"",""ko"")"),"푸른 노리 두 번 봐 めここ")</f>
        <v>푸른 노리 두 번 봐 めここ</v>
      </c>
      <c r="H76" s="6"/>
      <c r="I76" s="7" t="str">
        <f ca="1">IFERROR(__xludf.DUMMYFUNCTION("GOOGLETRANSLATE(B76,""ja"",""zh"")"),"绿色海藻配蘑菇蘑菇")</f>
        <v>绿色海藻配蘑菇蘑菇</v>
      </c>
      <c r="J76" s="7"/>
      <c r="K76" s="3" t="s">
        <v>319</v>
      </c>
      <c r="L76" s="3" t="s">
        <v>125</v>
      </c>
      <c r="M76" s="5" t="s">
        <v>317</v>
      </c>
      <c r="N76" s="5" t="s">
        <v>320</v>
      </c>
      <c r="O76" s="6" t="str">
        <f ca="1">IFERROR(__xludf.DUMMYFUNCTION("GOOGLETRANSLATE(B76,""ja"",""ko"")"),"푸른 노리 두 번 봐 めここ")</f>
        <v>푸른 노리 두 번 봐 めここ</v>
      </c>
      <c r="P76" s="6"/>
      <c r="Q76" s="7" t="str">
        <f ca="1">IFERROR(__xludf.DUMMYFUNCTION("GOOGLETRANSLATE(B76,""ja"",""zh"")"),"绿色海藻配蘑菇蘑菇")</f>
        <v>绿色海藻配蘑菇蘑菇</v>
      </c>
      <c r="R76" s="7"/>
      <c r="S76" s="3" t="s">
        <v>319</v>
      </c>
      <c r="T76" s="5" t="str">
        <f ca="1">IFERROR(__xludf.DUMMYFUNCTION("GOOGLETRANSLATE(S76,""ja"",""en"")"),"Aonori Meko Tamiminami")</f>
        <v>Aonori Meko Tamiminami</v>
      </c>
      <c r="U76" s="6" t="str">
        <f ca="1">IFERROR(__xludf.DUMMYFUNCTION("GOOGLETRANSLATE(S76,""ja"",""ko"")"),"푸른 노리 두번 봐 nameko")</f>
        <v>푸른 노리 두번 봐 nameko</v>
      </c>
      <c r="V76" s="7" t="str">
        <f ca="1">IFERROR(__xludf.DUMMYFUNCTION("GOOGLETRANSLATE(S76,""ja"",""zh"")"),"淡南青典目子")</f>
        <v>淡南青典目子</v>
      </c>
      <c r="W76" s="3"/>
      <c r="X76" s="5"/>
      <c r="Y76" s="6"/>
      <c r="Z76" s="7"/>
      <c r="AA76" s="3"/>
      <c r="AB76" s="5"/>
      <c r="AC76" s="6"/>
      <c r="AD76" s="7"/>
      <c r="AE76" s="3"/>
      <c r="AF76" s="5"/>
      <c r="AG76" s="6"/>
      <c r="AH76" s="7"/>
      <c r="AI76" s="2"/>
      <c r="AJ76" s="2"/>
      <c r="AK76" s="2"/>
      <c r="AL76" s="2"/>
      <c r="AM76" s="3"/>
      <c r="AN76" s="5"/>
      <c r="AO76" s="6"/>
      <c r="AP76" s="7"/>
      <c r="AQ76" s="3"/>
      <c r="AR76" s="5"/>
      <c r="AS76" s="6"/>
      <c r="AT76" s="7"/>
      <c r="AU76" s="3"/>
      <c r="AV76" s="5"/>
      <c r="AW76" s="6"/>
      <c r="AX76" s="7"/>
      <c r="AY76" s="2"/>
      <c r="AZ76" s="2"/>
      <c r="BA76" s="2"/>
      <c r="BB76" s="2"/>
      <c r="BC76" s="3"/>
      <c r="BD76" s="5"/>
      <c r="BE76" s="6"/>
      <c r="BF76" s="7"/>
      <c r="BG76" s="3"/>
      <c r="BH76" s="5"/>
      <c r="BI76" s="6"/>
      <c r="BJ76" s="7"/>
      <c r="BK76" s="3"/>
      <c r="BL76" s="5"/>
      <c r="BM76" s="6"/>
      <c r="BN76" s="7"/>
      <c r="BO76" s="2"/>
      <c r="BP76" s="2"/>
      <c r="BQ76" s="2"/>
      <c r="BR76" s="2"/>
    </row>
    <row r="77" spans="2:70" ht="18.75" customHeight="1" x14ac:dyDescent="0.25">
      <c r="B77" s="8" t="s">
        <v>321</v>
      </c>
      <c r="C77" s="3" t="s">
        <v>321</v>
      </c>
      <c r="D77" s="3"/>
      <c r="E77" s="5" t="s">
        <v>317</v>
      </c>
      <c r="F77" s="5"/>
      <c r="G77" s="6" t="str">
        <f ca="1">IFERROR(__xludf.DUMMYFUNCTION("GOOGLETRANSLATE(B77,""ja"",""ko"")"),"두번 봐 nameko")</f>
        <v>두번 봐 nameko</v>
      </c>
      <c r="H77" s="6"/>
      <c r="I77" s="7" t="str">
        <f ca="1">IFERROR(__xludf.DUMMYFUNCTION("GOOGLETRANSLATE(B77,""ja"",""zh"")"),"梅科两次")</f>
        <v>梅科两次</v>
      </c>
      <c r="J77" s="7"/>
      <c r="K77" s="3" t="s">
        <v>321</v>
      </c>
      <c r="L77" s="3"/>
      <c r="M77" s="5" t="s">
        <v>317</v>
      </c>
      <c r="N77" s="5"/>
      <c r="O77" s="6" t="str">
        <f ca="1">IFERROR(__xludf.DUMMYFUNCTION("GOOGLETRANSLATE(B77,""ja"",""ko"")"),"두번 봐 nameko")</f>
        <v>두번 봐 nameko</v>
      </c>
      <c r="P77" s="6"/>
      <c r="Q77" s="7" t="str">
        <f ca="1">IFERROR(__xludf.DUMMYFUNCTION("GOOGLETRANSLATE(B77,""ja"",""zh"")"),"梅科两次")</f>
        <v>梅科两次</v>
      </c>
      <c r="R77" s="7"/>
      <c r="S77" s="3" t="s">
        <v>321</v>
      </c>
      <c r="T77" s="5" t="str">
        <f ca="1">IFERROR(__xludf.DUMMYFUNCTION("GOOGLETRANSLATE(S77,""ja"",""en"")"),"Meko twice")</f>
        <v>Meko twice</v>
      </c>
      <c r="U77" s="6" t="str">
        <f ca="1">IFERROR(__xludf.DUMMYFUNCTION("GOOGLETRANSLATE(S77,""ja"",""ko"")"),"두번 봐 nameko")</f>
        <v>두번 봐 nameko</v>
      </c>
      <c r="V77" s="7" t="str">
        <f ca="1">IFERROR(__xludf.DUMMYFUNCTION("GOOGLETRANSLATE(S77,""ja"",""zh"")"),"梅科两次")</f>
        <v>梅科两次</v>
      </c>
      <c r="W77" s="3"/>
      <c r="X77" s="5"/>
      <c r="Y77" s="6"/>
      <c r="Z77" s="7"/>
      <c r="AA77" s="3"/>
      <c r="AB77" s="5"/>
      <c r="AC77" s="6"/>
      <c r="AD77" s="7"/>
      <c r="AE77" s="3"/>
      <c r="AF77" s="5"/>
      <c r="AG77" s="6"/>
      <c r="AH77" s="7"/>
      <c r="AI77" s="2"/>
      <c r="AJ77" s="2"/>
      <c r="AK77" s="2"/>
      <c r="AL77" s="2"/>
      <c r="AM77" s="3"/>
      <c r="AN77" s="5"/>
      <c r="AO77" s="6"/>
      <c r="AP77" s="7"/>
      <c r="AQ77" s="3"/>
      <c r="AR77" s="5"/>
      <c r="AS77" s="6"/>
      <c r="AT77" s="7"/>
      <c r="AU77" s="3"/>
      <c r="AV77" s="5"/>
      <c r="AW77" s="6"/>
      <c r="AX77" s="7"/>
      <c r="AY77" s="2"/>
      <c r="AZ77" s="2"/>
      <c r="BA77" s="2"/>
      <c r="BB77" s="2"/>
      <c r="BC77" s="3"/>
      <c r="BD77" s="5"/>
      <c r="BE77" s="6"/>
      <c r="BF77" s="7"/>
      <c r="BG77" s="3"/>
      <c r="BH77" s="5"/>
      <c r="BI77" s="6"/>
      <c r="BJ77" s="7"/>
      <c r="BK77" s="3"/>
      <c r="BL77" s="5"/>
      <c r="BM77" s="6"/>
      <c r="BN77" s="7"/>
      <c r="BO77" s="2"/>
      <c r="BP77" s="2"/>
      <c r="BQ77" s="2"/>
      <c r="BR77" s="2"/>
    </row>
    <row r="78" spans="2:70" ht="18.75" customHeight="1" x14ac:dyDescent="0.25">
      <c r="B78" s="8" t="s">
        <v>322</v>
      </c>
      <c r="C78" s="3" t="s">
        <v>319</v>
      </c>
      <c r="D78" s="3" t="s">
        <v>243</v>
      </c>
      <c r="E78" s="5" t="s">
        <v>323</v>
      </c>
      <c r="F78" s="5" t="s">
        <v>324</v>
      </c>
      <c r="G78" s="6" t="str">
        <f ca="1">IFERROR(__xludf.DUMMYFUNCTION("GOOGLETRANSLATE(B78,""ja"",""ko"")"),"푸른 노리 두 번 봐 めここぶけ")</f>
        <v>푸른 노리 두 번 봐 めここぶけ</v>
      </c>
      <c r="H78" s="6"/>
      <c r="I78" s="7" t="str">
        <f ca="1">IFERROR(__xludf.DUMMYFUNCTION("GOOGLETRANSLATE(B78,""ja"",""zh"")"),"青典看两次和颜射")</f>
        <v>青典看两次和颜射</v>
      </c>
      <c r="J78" s="7"/>
      <c r="K78" s="3" t="s">
        <v>319</v>
      </c>
      <c r="L78" s="3" t="s">
        <v>243</v>
      </c>
      <c r="M78" s="5" t="s">
        <v>323</v>
      </c>
      <c r="N78" s="5" t="s">
        <v>324</v>
      </c>
      <c r="O78" s="6" t="str">
        <f ca="1">IFERROR(__xludf.DUMMYFUNCTION("GOOGLETRANSLATE(B78,""ja"",""ko"")"),"푸른 노리 두 번 봐 めここぶけ")</f>
        <v>푸른 노리 두 번 봐 めここぶけ</v>
      </c>
      <c r="P78" s="6"/>
      <c r="Q78" s="7" t="str">
        <f ca="1">IFERROR(__xludf.DUMMYFUNCTION("GOOGLETRANSLATE(B78,""ja"",""zh"")"),"青典看两次和颜射")</f>
        <v>青典看两次和颜射</v>
      </c>
      <c r="R78" s="7"/>
      <c r="S78" s="3" t="s">
        <v>319</v>
      </c>
      <c r="T78" s="5" t="str">
        <f ca="1">IFERROR(__xludf.DUMMYFUNCTION("GOOGLETRANSLATE(S78,""ja"",""en"")"),"Aonori Meko Tamiminami")</f>
        <v>Aonori Meko Tamiminami</v>
      </c>
      <c r="U78" s="6" t="str">
        <f ca="1">IFERROR(__xludf.DUMMYFUNCTION("GOOGLETRANSLATE(S78,""ja"",""ko"")"),"푸른 노리 두번 봐 nameko")</f>
        <v>푸른 노리 두번 봐 nameko</v>
      </c>
      <c r="V78" s="7" t="str">
        <f ca="1">IFERROR(__xludf.DUMMYFUNCTION("GOOGLETRANSLATE(S78,""ja"",""zh"")"),"淡南青典目子")</f>
        <v>淡南青典目子</v>
      </c>
      <c r="W78" s="3"/>
      <c r="X78" s="5"/>
      <c r="Y78" s="6"/>
      <c r="Z78" s="7"/>
      <c r="AA78" s="3"/>
      <c r="AB78" s="5"/>
      <c r="AC78" s="6"/>
      <c r="AD78" s="7"/>
      <c r="AE78" s="3"/>
      <c r="AF78" s="5"/>
      <c r="AG78" s="6"/>
      <c r="AH78" s="7"/>
      <c r="AI78" s="2"/>
      <c r="AJ78" s="2"/>
      <c r="AK78" s="2"/>
      <c r="AL78" s="2"/>
      <c r="AM78" s="3"/>
      <c r="AN78" s="5"/>
      <c r="AO78" s="6"/>
      <c r="AP78" s="7"/>
      <c r="AQ78" s="3"/>
      <c r="AR78" s="5"/>
      <c r="AS78" s="6"/>
      <c r="AT78" s="7"/>
      <c r="AU78" s="3"/>
      <c r="AV78" s="5"/>
      <c r="AW78" s="6"/>
      <c r="AX78" s="7"/>
      <c r="AY78" s="2"/>
      <c r="AZ78" s="2"/>
      <c r="BA78" s="2"/>
      <c r="BB78" s="2"/>
      <c r="BC78" s="3"/>
      <c r="BD78" s="5"/>
      <c r="BE78" s="6"/>
      <c r="BF78" s="7"/>
      <c r="BG78" s="3"/>
      <c r="BH78" s="5"/>
      <c r="BI78" s="6"/>
      <c r="BJ78" s="7"/>
      <c r="BK78" s="3"/>
      <c r="BL78" s="5"/>
      <c r="BM78" s="6"/>
      <c r="BN78" s="7"/>
      <c r="BO78" s="2"/>
      <c r="BP78" s="2"/>
      <c r="BQ78" s="2"/>
      <c r="BR78" s="2"/>
    </row>
    <row r="79" spans="2:70" ht="18.75" customHeight="1" x14ac:dyDescent="0.25">
      <c r="B79" s="8" t="s">
        <v>325</v>
      </c>
      <c r="C79" s="3" t="s">
        <v>325</v>
      </c>
      <c r="D79" s="3"/>
      <c r="E79" s="5" t="s">
        <v>326</v>
      </c>
      <c r="F79" s="5"/>
      <c r="G79" s="6" t="str">
        <f ca="1">IFERROR(__xludf.DUMMYFUNCTION("GOOGLETRANSLATE(B79,""ja"",""ko"")"),"오니 카니카마 하늘")</f>
        <v>오니 카니카마 하늘</v>
      </c>
      <c r="H79" s="6"/>
      <c r="I79" s="7" t="str">
        <f ca="1">IFERROR(__xludf.DUMMYFUNCTION("GOOGLETRANSLATE(B79,""ja"",""zh"")"),"恶魔蟹天堂")</f>
        <v>恶魔蟹天堂</v>
      </c>
      <c r="J79" s="7"/>
      <c r="K79" s="3" t="s">
        <v>325</v>
      </c>
      <c r="L79" s="3"/>
      <c r="M79" s="5" t="s">
        <v>326</v>
      </c>
      <c r="N79" s="5"/>
      <c r="O79" s="6" t="str">
        <f ca="1">IFERROR(__xludf.DUMMYFUNCTION("GOOGLETRANSLATE(B79,""ja"",""ko"")"),"오니 카니카마 하늘")</f>
        <v>오니 카니카마 하늘</v>
      </c>
      <c r="P79" s="6"/>
      <c r="Q79" s="7" t="str">
        <f ca="1">IFERROR(__xludf.DUMMYFUNCTION("GOOGLETRANSLATE(B79,""ja"",""zh"")"),"恶魔蟹天堂")</f>
        <v>恶魔蟹天堂</v>
      </c>
      <c r="R79" s="7"/>
      <c r="S79" s="3" t="s">
        <v>325</v>
      </c>
      <c r="T79" s="5" t="str">
        <f ca="1">IFERROR(__xludf.DUMMYFUNCTION("GOOGLETRANSLATE(S79,""ja"",""en"")"),"Demon Crab Heaven")</f>
        <v>Demon Crab Heaven</v>
      </c>
      <c r="U79" s="6" t="str">
        <f ca="1">IFERROR(__xludf.DUMMYFUNCTION("GOOGLETRANSLATE(S79,""ja"",""ko"")"),"오니 카니카마 하늘")</f>
        <v>오니 카니카마 하늘</v>
      </c>
      <c r="V79" s="7" t="str">
        <f ca="1">IFERROR(__xludf.DUMMYFUNCTION("GOOGLETRANSLATE(S79,""ja"",""zh"")"),"恶魔蟹天堂")</f>
        <v>恶魔蟹天堂</v>
      </c>
      <c r="W79" s="3"/>
      <c r="X79" s="5"/>
      <c r="Y79" s="6"/>
      <c r="Z79" s="7"/>
      <c r="AA79" s="3"/>
      <c r="AB79" s="5"/>
      <c r="AC79" s="6"/>
      <c r="AD79" s="7"/>
      <c r="AE79" s="3"/>
      <c r="AF79" s="5"/>
      <c r="AG79" s="6"/>
      <c r="AH79" s="7"/>
      <c r="AI79" s="2"/>
      <c r="AJ79" s="2"/>
      <c r="AK79" s="2"/>
      <c r="AL79" s="2"/>
      <c r="AM79" s="3"/>
      <c r="AN79" s="5"/>
      <c r="AO79" s="6"/>
      <c r="AP79" s="7"/>
      <c r="AQ79" s="3"/>
      <c r="AR79" s="5"/>
      <c r="AS79" s="6"/>
      <c r="AT79" s="7"/>
      <c r="AU79" s="3"/>
      <c r="AV79" s="5"/>
      <c r="AW79" s="6"/>
      <c r="AX79" s="7"/>
      <c r="AY79" s="2"/>
      <c r="AZ79" s="2"/>
      <c r="BA79" s="2"/>
      <c r="BB79" s="2"/>
      <c r="BC79" s="3"/>
      <c r="BD79" s="5"/>
      <c r="BE79" s="6"/>
      <c r="BF79" s="7"/>
      <c r="BG79" s="3"/>
      <c r="BH79" s="5"/>
      <c r="BI79" s="6"/>
      <c r="BJ79" s="7"/>
      <c r="BK79" s="3"/>
      <c r="BL79" s="5"/>
      <c r="BM79" s="6"/>
      <c r="BN79" s="7"/>
      <c r="BO79" s="2"/>
      <c r="BP79" s="2"/>
      <c r="BQ79" s="2"/>
      <c r="BR79" s="2"/>
    </row>
    <row r="80" spans="2:70" ht="18.75" customHeight="1" x14ac:dyDescent="0.25">
      <c r="B80" s="8" t="s">
        <v>327</v>
      </c>
      <c r="C80" s="3" t="s">
        <v>328</v>
      </c>
      <c r="D80" s="3" t="s">
        <v>125</v>
      </c>
      <c r="E80" s="5" t="s">
        <v>326</v>
      </c>
      <c r="F80" s="5" t="s">
        <v>263</v>
      </c>
      <c r="G80" s="6" t="str">
        <f ca="1">IFERROR(__xludf.DUMMYFUNCTION("GOOGLETRANSLATE(B80,""ja"",""ko"")"),"악마 게니 카마 천국")</f>
        <v>악마 게니 카마 천국</v>
      </c>
      <c r="H80" s="6"/>
      <c r="I80" s="7" t="str">
        <f ca="1">IFERROR(__xludf.DUMMYFUNCTION("GOOGLETRANSLATE(B80,""ja"",""zh"")"),"鬼蟹天妇罗特厚")</f>
        <v>鬼蟹天妇罗特厚</v>
      </c>
      <c r="J80" s="7"/>
      <c r="K80" s="3" t="s">
        <v>328</v>
      </c>
      <c r="L80" s="3" t="s">
        <v>125</v>
      </c>
      <c r="M80" s="5" t="s">
        <v>326</v>
      </c>
      <c r="N80" s="5" t="s">
        <v>263</v>
      </c>
      <c r="O80" s="6" t="str">
        <f ca="1">IFERROR(__xludf.DUMMYFUNCTION("GOOGLETRANSLATE(B80,""ja"",""ko"")"),"악마 게니 카마 천국")</f>
        <v>악마 게니 카마 천국</v>
      </c>
      <c r="P80" s="6"/>
      <c r="Q80" s="7" t="str">
        <f ca="1">IFERROR(__xludf.DUMMYFUNCTION("GOOGLETRANSLATE(B80,""ja"",""zh"")"),"鬼蟹天妇罗特厚")</f>
        <v>鬼蟹天妇罗特厚</v>
      </c>
      <c r="R80" s="7"/>
      <c r="S80" s="3" t="s">
        <v>329</v>
      </c>
      <c r="T80" s="5" t="str">
        <f ca="1">IFERROR(__xludf.DUMMYFUNCTION("GOOGLETRANSLATE(S80,""ja"",""en"")"),"Crab stick thick")</f>
        <v>Crab stick thick</v>
      </c>
      <c r="U80" s="6" t="str">
        <f ca="1">IFERROR(__xludf.DUMMYFUNCTION("GOOGLETRANSLATE(S80,""ja"",""ko"")"),"게니 카마 태 케")</f>
        <v>게니 카마 태 케</v>
      </c>
      <c r="V80" s="7" t="str">
        <f ca="1">IFERROR(__xludf.DUMMYFUNCTION("GOOGLETRANSLATE(S80,""ja"",""zh"")"),"蟹棒粗")</f>
        <v>蟹棒粗</v>
      </c>
      <c r="W80" s="3"/>
      <c r="X80" s="5"/>
      <c r="Y80" s="6"/>
      <c r="Z80" s="7"/>
      <c r="AA80" s="3"/>
      <c r="AB80" s="5"/>
      <c r="AC80" s="6"/>
      <c r="AD80" s="7"/>
      <c r="AE80" s="3"/>
      <c r="AF80" s="5"/>
      <c r="AG80" s="6"/>
      <c r="AH80" s="7"/>
      <c r="AI80" s="2"/>
      <c r="AJ80" s="2"/>
      <c r="AK80" s="2"/>
      <c r="AL80" s="2"/>
      <c r="AM80" s="3"/>
      <c r="AN80" s="5"/>
      <c r="AO80" s="6"/>
      <c r="AP80" s="7"/>
      <c r="AQ80" s="3"/>
      <c r="AR80" s="5"/>
      <c r="AS80" s="6"/>
      <c r="AT80" s="7"/>
      <c r="AU80" s="3"/>
      <c r="AV80" s="5"/>
      <c r="AW80" s="6"/>
      <c r="AX80" s="7"/>
      <c r="AY80" s="2"/>
      <c r="AZ80" s="2"/>
      <c r="BA80" s="2"/>
      <c r="BB80" s="2"/>
      <c r="BC80" s="3"/>
      <c r="BD80" s="5"/>
      <c r="BE80" s="6"/>
      <c r="BF80" s="7"/>
      <c r="BG80" s="3"/>
      <c r="BH80" s="5"/>
      <c r="BI80" s="6"/>
      <c r="BJ80" s="7"/>
      <c r="BK80" s="3"/>
      <c r="BL80" s="5"/>
      <c r="BM80" s="6"/>
      <c r="BN80" s="7"/>
      <c r="BO80" s="2"/>
      <c r="BP80" s="2"/>
      <c r="BQ80" s="2"/>
      <c r="BR80" s="2"/>
    </row>
    <row r="81" spans="2:70" ht="18.75" customHeight="1" x14ac:dyDescent="0.25">
      <c r="B81" s="8" t="s">
        <v>330</v>
      </c>
      <c r="C81" s="3" t="s">
        <v>331</v>
      </c>
      <c r="D81" s="3" t="s">
        <v>125</v>
      </c>
      <c r="E81" s="5" t="s">
        <v>326</v>
      </c>
      <c r="F81" s="5" t="s">
        <v>320</v>
      </c>
      <c r="G81" s="6" t="str">
        <f ca="1">IFERROR(__xludf.DUMMYFUNCTION("GOOGLETRANSLATE(B81,""ja"",""ko"")"),"오니 카니카마 하늘 푸른 김")</f>
        <v>오니 카니카마 하늘 푸른 김</v>
      </c>
      <c r="H81" s="6"/>
      <c r="I81" s="7" t="str">
        <f ca="1">IFERROR(__xludf.DUMMYFUNCTION("GOOGLETRANSLATE(B81,""ja"",""zh"")"),"恶魔蟹天妇罗配上绿色海藻")</f>
        <v>恶魔蟹天妇罗配上绿色海藻</v>
      </c>
      <c r="J81" s="7"/>
      <c r="K81" s="3" t="s">
        <v>331</v>
      </c>
      <c r="L81" s="3" t="s">
        <v>125</v>
      </c>
      <c r="M81" s="5" t="s">
        <v>326</v>
      </c>
      <c r="N81" s="5" t="s">
        <v>320</v>
      </c>
      <c r="O81" s="6" t="str">
        <f ca="1">IFERROR(__xludf.DUMMYFUNCTION("GOOGLETRANSLATE(B81,""ja"",""ko"")"),"오니 카니카마 하늘 푸른 김")</f>
        <v>오니 카니카마 하늘 푸른 김</v>
      </c>
      <c r="P81" s="6"/>
      <c r="Q81" s="7" t="str">
        <f ca="1">IFERROR(__xludf.DUMMYFUNCTION("GOOGLETRANSLATE(B81,""ja"",""zh"")"),"恶魔蟹天妇罗配上绿色海藻")</f>
        <v>恶魔蟹天妇罗配上绿色海藻</v>
      </c>
      <c r="R81" s="7"/>
      <c r="S81" s="3" t="s">
        <v>332</v>
      </c>
      <c r="T81" s="5" t="str">
        <f ca="1">IFERROR(__xludf.DUMMYFUNCTION("GOOGLETRANSLATE(S81,""ja"",""en"")"),"Crab stick blue plate")</f>
        <v>Crab stick blue plate</v>
      </c>
      <c r="U81" s="6" t="str">
        <f ca="1">IFERROR(__xludf.DUMMYFUNCTION("GOOGLETRANSLATE(S81,""ja"",""ko"")"),"게 니카마 블루")</f>
        <v>게 니카마 블루</v>
      </c>
      <c r="V81" s="7" t="str">
        <f ca="1">IFERROR(__xludf.DUMMYFUNCTION("GOOGLETRANSLATE(S81,""ja"",""zh"")"),"蟹棒蓝盘")</f>
        <v>蟹棒蓝盘</v>
      </c>
      <c r="W81" s="3"/>
      <c r="X81" s="5"/>
      <c r="Y81" s="6"/>
      <c r="Z81" s="7"/>
      <c r="AA81" s="3"/>
      <c r="AB81" s="5"/>
      <c r="AC81" s="6"/>
      <c r="AD81" s="7"/>
      <c r="AE81" s="3"/>
      <c r="AF81" s="5"/>
      <c r="AG81" s="6"/>
      <c r="AH81" s="7"/>
      <c r="AI81" s="2"/>
      <c r="AJ81" s="2"/>
      <c r="AK81" s="2"/>
      <c r="AL81" s="2"/>
      <c r="AM81" s="3"/>
      <c r="AN81" s="5"/>
      <c r="AO81" s="6"/>
      <c r="AP81" s="7"/>
      <c r="AQ81" s="3"/>
      <c r="AR81" s="5"/>
      <c r="AS81" s="6"/>
      <c r="AT81" s="7"/>
      <c r="AU81" s="3"/>
      <c r="AV81" s="5"/>
      <c r="AW81" s="6"/>
      <c r="AX81" s="7"/>
      <c r="AY81" s="2"/>
      <c r="AZ81" s="2"/>
      <c r="BA81" s="2"/>
      <c r="BB81" s="2"/>
      <c r="BC81" s="3"/>
      <c r="BD81" s="5"/>
      <c r="BE81" s="6"/>
      <c r="BF81" s="7"/>
      <c r="BG81" s="3"/>
      <c r="BH81" s="5"/>
      <c r="BI81" s="6"/>
      <c r="BJ81" s="7"/>
      <c r="BK81" s="3"/>
      <c r="BL81" s="5"/>
      <c r="BM81" s="6"/>
      <c r="BN81" s="7"/>
      <c r="BO81" s="2"/>
      <c r="BP81" s="2"/>
      <c r="BQ81" s="2"/>
      <c r="BR81" s="2"/>
    </row>
    <row r="82" spans="2:70" ht="18.75" customHeight="1" x14ac:dyDescent="0.25">
      <c r="B82" s="8" t="s">
        <v>333</v>
      </c>
      <c r="C82" s="3" t="s">
        <v>334</v>
      </c>
      <c r="D82" s="3" t="s">
        <v>335</v>
      </c>
      <c r="E82" s="5" t="s">
        <v>336</v>
      </c>
      <c r="F82" s="5" t="s">
        <v>337</v>
      </c>
      <c r="G82" s="6" t="str">
        <f ca="1">IFERROR(__xludf.DUMMYFUNCTION("GOOGLETRANSLATE(B82,""ja"",""ko"")"),"아사히 　 　 　 슈퍼 드라이 350ml")</f>
        <v>아사히 　 　 　 슈퍼 드라이 350ml</v>
      </c>
      <c r="H82" s="6"/>
      <c r="I82" s="7" t="str">
        <f ca="1">IFERROR(__xludf.DUMMYFUNCTION("GOOGLETRANSLATE(B82,""ja"",""zh"")"),"朝日超级干爽 350ml")</f>
        <v>朝日超级干爽 350ml</v>
      </c>
      <c r="J82" s="7"/>
      <c r="K82" s="3" t="s">
        <v>334</v>
      </c>
      <c r="L82" s="3" t="s">
        <v>335</v>
      </c>
      <c r="M82" s="5" t="s">
        <v>336</v>
      </c>
      <c r="N82" s="5" t="s">
        <v>337</v>
      </c>
      <c r="O82" s="6" t="str">
        <f ca="1">IFERROR(__xludf.DUMMYFUNCTION("GOOGLETRANSLATE(B82,""ja"",""ko"")"),"아사히 　 　 　 슈퍼 드라이 350ml")</f>
        <v>아사히 　 　 　 슈퍼 드라이 350ml</v>
      </c>
      <c r="P82" s="6"/>
      <c r="Q82" s="7" t="str">
        <f ca="1">IFERROR(__xludf.DUMMYFUNCTION("GOOGLETRANSLATE(B82,""ja"",""zh"")"),"朝日超级干爽 350ml")</f>
        <v>朝日超级干爽 350ml</v>
      </c>
      <c r="R82" s="7"/>
      <c r="S82" s="3" t="s">
        <v>338</v>
      </c>
      <c r="T82" s="5" t="str">
        <f ca="1">IFERROR(__xludf.DUMMYFUNCTION("GOOGLETRANSLATE(S82,""ja"",""en"")"),"Beer ")</f>
        <v xml:space="preserve">Beer </v>
      </c>
      <c r="U82" s="6" t="str">
        <f ca="1">IFERROR(__xludf.DUMMYFUNCTION("GOOGLETRANSLATE(S82,""ja"",""ko"")"),"맥주")</f>
        <v>맥주</v>
      </c>
      <c r="V82" s="7" t="str">
        <f ca="1">IFERROR(__xludf.DUMMYFUNCTION("GOOGLETRANSLATE(S82,""ja"",""zh"")"),"啤酒 ")</f>
        <v xml:space="preserve">啤酒 </v>
      </c>
      <c r="W82" s="3"/>
      <c r="X82" s="5"/>
      <c r="Y82" s="6"/>
      <c r="Z82" s="7"/>
      <c r="AA82" s="3"/>
      <c r="AB82" s="5"/>
      <c r="AC82" s="6"/>
      <c r="AD82" s="7"/>
      <c r="AE82" s="3"/>
      <c r="AF82" s="5"/>
      <c r="AG82" s="6"/>
      <c r="AH82" s="7"/>
      <c r="AI82" s="2"/>
      <c r="AJ82" s="2"/>
      <c r="AK82" s="2"/>
      <c r="AL82" s="2"/>
      <c r="AM82" s="3"/>
      <c r="AN82" s="5"/>
      <c r="AO82" s="6"/>
      <c r="AP82" s="7"/>
      <c r="AQ82" s="3"/>
      <c r="AR82" s="5"/>
      <c r="AS82" s="6"/>
      <c r="AT82" s="7"/>
      <c r="AU82" s="3"/>
      <c r="AV82" s="5"/>
      <c r="AW82" s="6"/>
      <c r="AX82" s="7"/>
      <c r="AY82" s="2"/>
      <c r="AZ82" s="2"/>
      <c r="BA82" s="2"/>
      <c r="BB82" s="2"/>
      <c r="BC82" s="3"/>
      <c r="BD82" s="5"/>
      <c r="BE82" s="6"/>
      <c r="BF82" s="7"/>
      <c r="BG82" s="3"/>
      <c r="BH82" s="5"/>
      <c r="BI82" s="6"/>
      <c r="BJ82" s="7"/>
      <c r="BK82" s="3"/>
      <c r="BL82" s="5"/>
      <c r="BM82" s="6"/>
      <c r="BN82" s="7"/>
      <c r="BO82" s="2"/>
      <c r="BP82" s="2"/>
      <c r="BQ82" s="2"/>
      <c r="BR82" s="2"/>
    </row>
    <row r="83" spans="2:70" ht="18.75" customHeight="1" x14ac:dyDescent="0.25">
      <c r="B83" s="8" t="s">
        <v>339</v>
      </c>
      <c r="C83" s="3" t="s">
        <v>339</v>
      </c>
      <c r="D83" s="3"/>
      <c r="E83" s="5" t="s">
        <v>340</v>
      </c>
      <c r="F83" s="5"/>
      <c r="G83" s="6" t="str">
        <f ca="1">IFERROR(__xludf.DUMMYFUNCTION("GOOGLETRANSLATE(B83,""ja"",""ko"")"),"아이스 커피")</f>
        <v>아이스 커피</v>
      </c>
      <c r="H83" s="6"/>
      <c r="I83" s="7" t="str">
        <f ca="1">IFERROR(__xludf.DUMMYFUNCTION("GOOGLETRANSLATE(B83,""ja"",""zh"")"),"冰咖啡")</f>
        <v>冰咖啡</v>
      </c>
      <c r="J83" s="7"/>
      <c r="K83" s="3" t="s">
        <v>339</v>
      </c>
      <c r="L83" s="3"/>
      <c r="M83" s="5" t="s">
        <v>340</v>
      </c>
      <c r="N83" s="5"/>
      <c r="O83" s="6" t="str">
        <f ca="1">IFERROR(__xludf.DUMMYFUNCTION("GOOGLETRANSLATE(B83,""ja"",""ko"")"),"아이스 커피")</f>
        <v>아이스 커피</v>
      </c>
      <c r="P83" s="6"/>
      <c r="Q83" s="7" t="str">
        <f ca="1">IFERROR(__xludf.DUMMYFUNCTION("GOOGLETRANSLATE(B83,""ja"",""zh"")"),"冰咖啡")</f>
        <v>冰咖啡</v>
      </c>
      <c r="R83" s="7"/>
      <c r="S83" s="3" t="s">
        <v>339</v>
      </c>
      <c r="T83" s="5" t="str">
        <f ca="1">IFERROR(__xludf.DUMMYFUNCTION("GOOGLETRANSLATE(S83,""ja"",""en"")"),"iced coffee")</f>
        <v>iced coffee</v>
      </c>
      <c r="U83" s="6" t="str">
        <f ca="1">IFERROR(__xludf.DUMMYFUNCTION("GOOGLETRANSLATE(S83,""ja"",""ko"")"),"아이스 커피")</f>
        <v>아이스 커피</v>
      </c>
      <c r="V83" s="7" t="str">
        <f ca="1">IFERROR(__xludf.DUMMYFUNCTION("GOOGLETRANSLATE(S83,""ja"",""zh"")"),"冰咖啡")</f>
        <v>冰咖啡</v>
      </c>
      <c r="W83" s="3" t="s">
        <v>341</v>
      </c>
      <c r="X83" s="5" t="str">
        <f ca="1">IFERROR(__xludf.DUMMYFUNCTION("GOOGLETRANSLATE(W83,""ja"",""en"")"),"milk")</f>
        <v>milk</v>
      </c>
      <c r="Y83" s="6" t="str">
        <f ca="1">IFERROR(__xludf.DUMMYFUNCTION("GOOGLETRANSLATE(W83,""ja"",""ko"")"),"우유")</f>
        <v>우유</v>
      </c>
      <c r="Z83" s="7" t="str">
        <f ca="1">IFERROR(__xludf.DUMMYFUNCTION("GOOGLETRANSLATE(W83,""ja"",""zh"")"),"牛奶")</f>
        <v>牛奶</v>
      </c>
      <c r="AA83" s="3" t="s">
        <v>229</v>
      </c>
      <c r="AB83" s="5" t="str">
        <f ca="1">IFERROR(__xludf.DUMMYFUNCTION("GOOGLETRANSLATE(AA83,""ja"",""en"")"),"can be")</f>
        <v>can be</v>
      </c>
      <c r="AC83" s="6" t="str">
        <f ca="1">IFERROR(__xludf.DUMMYFUNCTION("GOOGLETRANSLATE(AA83,""ja"",""ko"")"),"예")</f>
        <v>예</v>
      </c>
      <c r="AD83" s="7" t="str">
        <f ca="1">IFERROR(__xludf.DUMMYFUNCTION("GOOGLETRANSLATE(AA83,""ja"",""zh"")"),"可以是")</f>
        <v>可以是</v>
      </c>
      <c r="AE83" s="3" t="s">
        <v>230</v>
      </c>
      <c r="AF83" s="5" t="str">
        <f ca="1">IFERROR(__xludf.DUMMYFUNCTION("GOOGLETRANSLATE(AE83,""ja"",""en"")"),"none")</f>
        <v>none</v>
      </c>
      <c r="AG83" s="6" t="str">
        <f ca="1">IFERROR(__xludf.DUMMYFUNCTION("GOOGLETRANSLATE(AE83,""ja"",""ko"")"),"없음")</f>
        <v>없음</v>
      </c>
      <c r="AH83" s="7" t="str">
        <f ca="1">IFERROR(__xludf.DUMMYFUNCTION("GOOGLETRANSLATE(AE83,""ja"",""zh"")"),"没有任何")</f>
        <v>没有任何</v>
      </c>
      <c r="AI83" s="2"/>
      <c r="AJ83" s="2"/>
      <c r="AK83" s="2"/>
      <c r="AL83" s="2"/>
      <c r="AM83" s="3" t="s">
        <v>342</v>
      </c>
      <c r="AN83" s="5"/>
      <c r="AO83" s="6"/>
      <c r="AP83" s="7"/>
      <c r="AQ83" s="3" t="s">
        <v>229</v>
      </c>
      <c r="AR83" s="5"/>
      <c r="AS83" s="6"/>
      <c r="AT83" s="7"/>
      <c r="AU83" s="3" t="s">
        <v>230</v>
      </c>
      <c r="AV83" s="5"/>
      <c r="AW83" s="6"/>
      <c r="AX83" s="7"/>
      <c r="AY83" s="2"/>
      <c r="AZ83" s="2"/>
      <c r="BA83" s="2"/>
      <c r="BB83" s="2"/>
      <c r="BC83" s="3"/>
      <c r="BD83" s="5"/>
      <c r="BE83" s="6"/>
      <c r="BF83" s="7"/>
      <c r="BG83" s="3"/>
      <c r="BH83" s="5"/>
      <c r="BI83" s="6"/>
      <c r="BJ83" s="7"/>
      <c r="BK83" s="3"/>
      <c r="BL83" s="5"/>
      <c r="BM83" s="6"/>
      <c r="BN83" s="7"/>
      <c r="BO83" s="2"/>
      <c r="BP83" s="2"/>
      <c r="BQ83" s="2"/>
      <c r="BR83" s="2"/>
    </row>
    <row r="84" spans="2:70" ht="18.75" customHeight="1" x14ac:dyDescent="0.25">
      <c r="B84" s="8" t="s">
        <v>343</v>
      </c>
      <c r="C84" s="3" t="s">
        <v>344</v>
      </c>
      <c r="D84" s="3" t="s">
        <v>345</v>
      </c>
      <c r="E84" s="5" t="s">
        <v>346</v>
      </c>
      <c r="F84" s="5"/>
      <c r="G84" s="6" t="str">
        <f ca="1">IFERROR(__xludf.DUMMYFUNCTION("GOOGLETRANSLATE(B84,""ja"",""ko"")"),"100% 오렌지 주스")</f>
        <v>100% 오렌지 주스</v>
      </c>
      <c r="H84" s="6"/>
      <c r="I84" s="7" t="str">
        <f ca="1">IFERROR(__xludf.DUMMYFUNCTION("GOOGLETRANSLATE(B84,""ja"",""zh"")"),"100%橙汁")</f>
        <v>100%橙汁</v>
      </c>
      <c r="J84" s="7"/>
      <c r="K84" s="3" t="s">
        <v>344</v>
      </c>
      <c r="L84" s="3" t="s">
        <v>345</v>
      </c>
      <c r="M84" s="5" t="s">
        <v>346</v>
      </c>
      <c r="N84" s="5"/>
      <c r="O84" s="6" t="str">
        <f ca="1">IFERROR(__xludf.DUMMYFUNCTION("GOOGLETRANSLATE(B84,""ja"",""ko"")"),"100% 오렌지 주스")</f>
        <v>100% 오렌지 주스</v>
      </c>
      <c r="P84" s="6"/>
      <c r="Q84" s="7" t="str">
        <f ca="1">IFERROR(__xludf.DUMMYFUNCTION("GOOGLETRANSLATE(B84,""ja"",""zh"")"),"100%橙汁")</f>
        <v>100%橙汁</v>
      </c>
      <c r="R84" s="7"/>
      <c r="S84" s="3" t="s">
        <v>344</v>
      </c>
      <c r="T84" s="5" t="str">
        <f ca="1">IFERROR(__xludf.DUMMYFUNCTION("GOOGLETRANSLATE(S84,""ja"",""en"")"),"100% orange")</f>
        <v>100% orange</v>
      </c>
      <c r="U84" s="6" t="str">
        <f ca="1">IFERROR(__xludf.DUMMYFUNCTION("GOOGLETRANSLATE(S84,""ja"",""ko"")"),"100% 오렌지")</f>
        <v>100% 오렌지</v>
      </c>
      <c r="V84" s="7" t="str">
        <f ca="1">IFERROR(__xludf.DUMMYFUNCTION("GOOGLETRANSLATE(S84,""ja"",""zh"")"),"100% 橙色")</f>
        <v>100% 橙色</v>
      </c>
      <c r="W84" s="3"/>
      <c r="X84" s="5"/>
      <c r="Y84" s="6"/>
      <c r="Z84" s="7"/>
      <c r="AA84" s="3"/>
      <c r="AB84" s="5"/>
      <c r="AC84" s="6"/>
      <c r="AD84" s="7"/>
      <c r="AE84" s="3"/>
      <c r="AF84" s="5"/>
      <c r="AG84" s="6"/>
      <c r="AH84" s="7"/>
      <c r="AI84" s="2"/>
      <c r="AJ84" s="2"/>
      <c r="AK84" s="2"/>
      <c r="AL84" s="2"/>
      <c r="AM84" s="3"/>
      <c r="AN84" s="5"/>
      <c r="AO84" s="6"/>
      <c r="AP84" s="7"/>
      <c r="AQ84" s="3"/>
      <c r="AR84" s="5"/>
      <c r="AS84" s="6"/>
      <c r="AT84" s="7"/>
      <c r="AU84" s="3"/>
      <c r="AV84" s="5"/>
      <c r="AW84" s="6"/>
      <c r="AX84" s="7"/>
      <c r="AY84" s="2"/>
      <c r="AZ84" s="2"/>
      <c r="BA84" s="2"/>
      <c r="BB84" s="2"/>
      <c r="BC84" s="3"/>
      <c r="BD84" s="5"/>
      <c r="BE84" s="6"/>
      <c r="BF84" s="7"/>
      <c r="BG84" s="3"/>
      <c r="BH84" s="5"/>
      <c r="BI84" s="6"/>
      <c r="BJ84" s="7"/>
      <c r="BK84" s="3"/>
      <c r="BL84" s="5"/>
      <c r="BM84" s="6"/>
      <c r="BN84" s="7"/>
      <c r="BO84" s="2"/>
      <c r="BP84" s="2"/>
      <c r="BQ84" s="2"/>
      <c r="BR84" s="2"/>
    </row>
    <row r="85" spans="2:70" ht="18.75" customHeight="1" x14ac:dyDescent="0.25">
      <c r="B85" s="8" t="s">
        <v>347</v>
      </c>
      <c r="C85" s="3" t="s">
        <v>347</v>
      </c>
      <c r="D85" s="3"/>
      <c r="E85" s="5" t="s">
        <v>348</v>
      </c>
      <c r="F85" s="5"/>
      <c r="G85" s="6" t="str">
        <f ca="1">IFERROR(__xludf.DUMMYFUNCTION("GOOGLETRANSLATE(B85,""ja"",""ko"")"),"100% 사과 주스")</f>
        <v>100% 사과 주스</v>
      </c>
      <c r="H85" s="6"/>
      <c r="I85" s="7" t="str">
        <f ca="1">IFERROR(__xludf.DUMMYFUNCTION("GOOGLETRANSLATE(B85,""ja"",""zh"")"),"100%苹果汁")</f>
        <v>100%苹果汁</v>
      </c>
      <c r="J85" s="7"/>
      <c r="K85" s="3" t="s">
        <v>347</v>
      </c>
      <c r="L85" s="3"/>
      <c r="M85" s="5" t="s">
        <v>348</v>
      </c>
      <c r="N85" s="5"/>
      <c r="O85" s="6" t="str">
        <f ca="1">IFERROR(__xludf.DUMMYFUNCTION("GOOGLETRANSLATE(B85,""ja"",""ko"")"),"100% 사과 주스")</f>
        <v>100% 사과 주스</v>
      </c>
      <c r="P85" s="6"/>
      <c r="Q85" s="7" t="str">
        <f ca="1">IFERROR(__xludf.DUMMYFUNCTION("GOOGLETRANSLATE(B85,""ja"",""zh"")"),"100%苹果汁")</f>
        <v>100%苹果汁</v>
      </c>
      <c r="R85" s="7"/>
      <c r="S85" s="3" t="s">
        <v>347</v>
      </c>
      <c r="T85" s="5" t="str">
        <f ca="1">IFERROR(__xludf.DUMMYFUNCTION("GOOGLETRANSLATE(S85,""ja"",""en"")"),"100% apple juice")</f>
        <v>100% apple juice</v>
      </c>
      <c r="U85" s="6" t="str">
        <f ca="1">IFERROR(__xludf.DUMMYFUNCTION("GOOGLETRANSLATE(S85,""ja"",""ko"")"),"100% 사과 주스")</f>
        <v>100% 사과 주스</v>
      </c>
      <c r="V85" s="7" t="str">
        <f ca="1">IFERROR(__xludf.DUMMYFUNCTION("GOOGLETRANSLATE(S85,""ja"",""zh"")"),"100%苹果汁")</f>
        <v>100%苹果汁</v>
      </c>
      <c r="W85" s="3"/>
      <c r="X85" s="5"/>
      <c r="Y85" s="6"/>
      <c r="Z85" s="7"/>
      <c r="AA85" s="3"/>
      <c r="AB85" s="5"/>
      <c r="AC85" s="6"/>
      <c r="AD85" s="7"/>
      <c r="AE85" s="3"/>
      <c r="AF85" s="5"/>
      <c r="AG85" s="6"/>
      <c r="AH85" s="7"/>
      <c r="AI85" s="2"/>
      <c r="AJ85" s="2"/>
      <c r="AK85" s="2"/>
      <c r="AL85" s="2"/>
      <c r="AM85" s="3"/>
      <c r="AN85" s="5"/>
      <c r="AO85" s="6"/>
      <c r="AP85" s="7"/>
      <c r="AQ85" s="3"/>
      <c r="AR85" s="5"/>
      <c r="AS85" s="6"/>
      <c r="AT85" s="7"/>
      <c r="AU85" s="3"/>
      <c r="AV85" s="5"/>
      <c r="AW85" s="6"/>
      <c r="AX85" s="7"/>
      <c r="AY85" s="2"/>
      <c r="AZ85" s="2"/>
      <c r="BA85" s="2"/>
      <c r="BB85" s="2"/>
      <c r="BC85" s="3"/>
      <c r="BD85" s="5"/>
      <c r="BE85" s="6"/>
      <c r="BF85" s="7"/>
      <c r="BG85" s="3"/>
      <c r="BH85" s="5"/>
      <c r="BI85" s="6"/>
      <c r="BJ85" s="7"/>
      <c r="BK85" s="3"/>
      <c r="BL85" s="5"/>
      <c r="BM85" s="6"/>
      <c r="BN85" s="7"/>
      <c r="BO85" s="2"/>
      <c r="BP85" s="2"/>
      <c r="BQ85" s="2"/>
      <c r="BR85" s="2"/>
    </row>
    <row r="86" spans="2:70" ht="18.75" customHeight="1" x14ac:dyDescent="0.25">
      <c r="B86" s="8" t="s">
        <v>349</v>
      </c>
      <c r="C86" s="3" t="s">
        <v>349</v>
      </c>
      <c r="D86" s="3"/>
      <c r="E86" s="5" t="s">
        <v>350</v>
      </c>
      <c r="F86" s="5"/>
      <c r="G86" s="6" t="str">
        <f ca="1">IFERROR(__xludf.DUMMYFUNCTION("GOOGLETRANSLATE(B86,""ja"",""ko"")"),"재스민 차")</f>
        <v>재스민 차</v>
      </c>
      <c r="H86" s="6"/>
      <c r="I86" s="7" t="str">
        <f ca="1">IFERROR(__xludf.DUMMYFUNCTION("GOOGLETRANSLATE(B86,""ja"",""zh"")"),"茉莉花茶")</f>
        <v>茉莉花茶</v>
      </c>
      <c r="J86" s="7"/>
      <c r="K86" s="3" t="s">
        <v>349</v>
      </c>
      <c r="L86" s="3"/>
      <c r="M86" s="5" t="s">
        <v>350</v>
      </c>
      <c r="N86" s="5"/>
      <c r="O86" s="6" t="str">
        <f ca="1">IFERROR(__xludf.DUMMYFUNCTION("GOOGLETRANSLATE(B86,""ja"",""ko"")"),"재스민 차")</f>
        <v>재스민 차</v>
      </c>
      <c r="P86" s="6"/>
      <c r="Q86" s="7" t="str">
        <f ca="1">IFERROR(__xludf.DUMMYFUNCTION("GOOGLETRANSLATE(B86,""ja"",""zh"")"),"茉莉花茶")</f>
        <v>茉莉花茶</v>
      </c>
      <c r="R86" s="7"/>
      <c r="S86" s="3" t="s">
        <v>349</v>
      </c>
      <c r="T86" s="5" t="str">
        <f ca="1">IFERROR(__xludf.DUMMYFUNCTION("GOOGLETRANSLATE(S86,""ja"",""en"")"),"jasmine tea")</f>
        <v>jasmine tea</v>
      </c>
      <c r="U86" s="6" t="str">
        <f ca="1">IFERROR(__xludf.DUMMYFUNCTION("GOOGLETRANSLATE(S86,""ja"",""ko"")"),"재스민 차")</f>
        <v>재스민 차</v>
      </c>
      <c r="V86" s="7" t="str">
        <f ca="1">IFERROR(__xludf.DUMMYFUNCTION("GOOGLETRANSLATE(S86,""ja"",""zh"")"),"茉莉花茶")</f>
        <v>茉莉花茶</v>
      </c>
      <c r="W86" s="3"/>
      <c r="X86" s="5"/>
      <c r="Y86" s="6"/>
      <c r="Z86" s="7"/>
      <c r="AA86" s="3"/>
      <c r="AB86" s="5"/>
      <c r="AC86" s="6"/>
      <c r="AD86" s="7"/>
      <c r="AE86" s="3"/>
      <c r="AF86" s="5"/>
      <c r="AG86" s="6"/>
      <c r="AH86" s="7"/>
      <c r="AI86" s="2"/>
      <c r="AJ86" s="2"/>
      <c r="AK86" s="2"/>
      <c r="AL86" s="2"/>
      <c r="AM86" s="3"/>
      <c r="AN86" s="5"/>
      <c r="AO86" s="6"/>
      <c r="AP86" s="7"/>
      <c r="AQ86" s="3"/>
      <c r="AR86" s="5"/>
      <c r="AS86" s="6"/>
      <c r="AT86" s="7"/>
      <c r="AU86" s="3"/>
      <c r="AV86" s="5"/>
      <c r="AW86" s="6"/>
      <c r="AX86" s="7"/>
      <c r="AY86" s="2"/>
      <c r="AZ86" s="2"/>
      <c r="BA86" s="2"/>
      <c r="BB86" s="2"/>
      <c r="BC86" s="3"/>
      <c r="BD86" s="5"/>
      <c r="BE86" s="6"/>
      <c r="BF86" s="7"/>
      <c r="BG86" s="3"/>
      <c r="BH86" s="5"/>
      <c r="BI86" s="6"/>
      <c r="BJ86" s="7"/>
      <c r="BK86" s="3"/>
      <c r="BL86" s="5"/>
      <c r="BM86" s="6"/>
      <c r="BN86" s="7"/>
      <c r="BO86" s="2"/>
      <c r="BP86" s="2"/>
      <c r="BQ86" s="2"/>
      <c r="BR86" s="2"/>
    </row>
    <row r="87" spans="2:70" ht="18.75" customHeight="1" x14ac:dyDescent="0.25">
      <c r="B87" s="8" t="s">
        <v>351</v>
      </c>
      <c r="C87" s="3" t="s">
        <v>352</v>
      </c>
      <c r="D87" s="3" t="s">
        <v>345</v>
      </c>
      <c r="E87" s="5" t="s">
        <v>353</v>
      </c>
      <c r="F87" s="5"/>
      <c r="G87" s="6" t="str">
        <f ca="1">IFERROR(__xludf.DUMMYFUNCTION("GOOGLETRANSLATE(B87,""ja"",""ko"")"),"100% 파인애플 주스")</f>
        <v>100% 파인애플 주스</v>
      </c>
      <c r="H87" s="6"/>
      <c r="I87" s="7" t="str">
        <f ca="1">IFERROR(__xludf.DUMMYFUNCTION("GOOGLETRANSLATE(B87,""ja"",""zh"")"),"100%菠萝汁")</f>
        <v>100%菠萝汁</v>
      </c>
      <c r="J87" s="7"/>
      <c r="K87" s="3" t="s">
        <v>352</v>
      </c>
      <c r="L87" s="3" t="s">
        <v>345</v>
      </c>
      <c r="M87" s="5" t="s">
        <v>353</v>
      </c>
      <c r="N87" s="5"/>
      <c r="O87" s="6" t="str">
        <f ca="1">IFERROR(__xludf.DUMMYFUNCTION("GOOGLETRANSLATE(B87,""ja"",""ko"")"),"100% 파인애플 주스")</f>
        <v>100% 파인애플 주스</v>
      </c>
      <c r="P87" s="6"/>
      <c r="Q87" s="7" t="str">
        <f ca="1">IFERROR(__xludf.DUMMYFUNCTION("GOOGLETRANSLATE(B87,""ja"",""zh"")"),"100%菠萝汁")</f>
        <v>100%菠萝汁</v>
      </c>
      <c r="R87" s="7"/>
      <c r="S87" s="3" t="s">
        <v>352</v>
      </c>
      <c r="T87" s="5" t="str">
        <f ca="1">IFERROR(__xludf.DUMMYFUNCTION("GOOGLETRANSLATE(S87,""ja"",""en"")"),"100% pineapple")</f>
        <v>100% pineapple</v>
      </c>
      <c r="U87" s="6" t="str">
        <f ca="1">IFERROR(__xludf.DUMMYFUNCTION("GOOGLETRANSLATE(S87,""ja"",""ko"")"),"100% 파인애플")</f>
        <v>100% 파인애플</v>
      </c>
      <c r="V87" s="7" t="str">
        <f ca="1">IFERROR(__xludf.DUMMYFUNCTION("GOOGLETRANSLATE(S87,""ja"",""zh"")"),"100% 菠萝")</f>
        <v>100% 菠萝</v>
      </c>
      <c r="W87" s="3"/>
      <c r="X87" s="5"/>
      <c r="Y87" s="6"/>
      <c r="Z87" s="7"/>
      <c r="AA87" s="3"/>
      <c r="AB87" s="5"/>
      <c r="AC87" s="6"/>
      <c r="AD87" s="7"/>
      <c r="AE87" s="3"/>
      <c r="AF87" s="5"/>
      <c r="AG87" s="6"/>
      <c r="AH87" s="7"/>
      <c r="AI87" s="2"/>
      <c r="AJ87" s="2"/>
      <c r="AK87" s="2"/>
      <c r="AL87" s="2"/>
      <c r="AM87" s="3"/>
      <c r="AN87" s="5"/>
      <c r="AO87" s="6"/>
      <c r="AP87" s="7"/>
      <c r="AQ87" s="3"/>
      <c r="AR87" s="5"/>
      <c r="AS87" s="6"/>
      <c r="AT87" s="7"/>
      <c r="AU87" s="3"/>
      <c r="AV87" s="5"/>
      <c r="AW87" s="6"/>
      <c r="AX87" s="7"/>
      <c r="AY87" s="2"/>
      <c r="AZ87" s="2"/>
      <c r="BA87" s="2"/>
      <c r="BB87" s="2"/>
      <c r="BC87" s="3"/>
      <c r="BD87" s="5"/>
      <c r="BE87" s="6"/>
      <c r="BF87" s="7"/>
      <c r="BG87" s="3"/>
      <c r="BH87" s="5"/>
      <c r="BI87" s="6"/>
      <c r="BJ87" s="7"/>
      <c r="BK87" s="3"/>
      <c r="BL87" s="5"/>
      <c r="BM87" s="6"/>
      <c r="BN87" s="7"/>
      <c r="BO87" s="2"/>
      <c r="BP87" s="2"/>
      <c r="BQ87" s="2"/>
      <c r="BR87" s="2"/>
    </row>
    <row r="88" spans="2:70" ht="18.75" customHeight="1" x14ac:dyDescent="0.25">
      <c r="B88" s="8" t="s">
        <v>354</v>
      </c>
      <c r="C88" s="3" t="s">
        <v>160</v>
      </c>
      <c r="D88" s="3" t="s">
        <v>243</v>
      </c>
      <c r="E88" s="5" t="s">
        <v>161</v>
      </c>
      <c r="F88" s="5" t="s">
        <v>355</v>
      </c>
      <c r="G88" s="6" t="str">
        <f ca="1">IFERROR(__xludf.DUMMYFUNCTION("GOOGLETRANSLATE(B88,""ja"",""ko"")"),"두꺼운 부드러운 쇠고기 부카케")</f>
        <v>두꺼운 부드러운 쇠고기 부카케</v>
      </c>
      <c r="H88" s="6"/>
      <c r="I88" s="7" t="str">
        <f ca="1">IFERROR(__xludf.DUMMYFUNCTION("GOOGLETRANSLATE(B88,""ja"",""zh"")"),"特厚嫩牛肉颜射")</f>
        <v>特厚嫩牛肉颜射</v>
      </c>
      <c r="J88" s="7"/>
      <c r="K88" s="3" t="s">
        <v>160</v>
      </c>
      <c r="L88" s="3" t="s">
        <v>243</v>
      </c>
      <c r="M88" s="5" t="s">
        <v>161</v>
      </c>
      <c r="N88" s="5" t="s">
        <v>355</v>
      </c>
      <c r="O88" s="6" t="str">
        <f ca="1">IFERROR(__xludf.DUMMYFUNCTION("GOOGLETRANSLATE(B88,""ja"",""ko"")"),"두꺼운 부드러운 쇠고기 부카케")</f>
        <v>두꺼운 부드러운 쇠고기 부카케</v>
      </c>
      <c r="P88" s="6"/>
      <c r="Q88" s="7" t="str">
        <f ca="1">IFERROR(__xludf.DUMMYFUNCTION("GOOGLETRANSLATE(B88,""ja"",""zh"")"),"特厚嫩牛肉颜射")</f>
        <v>特厚嫩牛肉颜射</v>
      </c>
      <c r="R88" s="7"/>
      <c r="S88" s="3" t="s">
        <v>356</v>
      </c>
      <c r="T88" s="5" t="str">
        <f ca="1">IFERROR(__xludf.DUMMYFUNCTION("GOOGLETRANSLATE(S88,""ja"",""en"")"),"Thick meat bukkake")</f>
        <v>Thick meat bukkake</v>
      </c>
      <c r="U88" s="6" t="str">
        <f ca="1">IFERROR(__xludf.DUMMYFUNCTION("GOOGLETRANSLATE(S88,""ja"",""ko"")"),"굵은 고기 부카케")</f>
        <v>굵은 고기 부카케</v>
      </c>
      <c r="V88" s="7" t="str">
        <f ca="1">IFERROR(__xludf.DUMMYFUNCTION("GOOGLETRANSLATE(S88,""ja"",""zh"")"),"厚肉颜射")</f>
        <v>厚肉颜射</v>
      </c>
      <c r="W88" s="3"/>
      <c r="X88" s="5"/>
      <c r="Y88" s="6"/>
      <c r="Z88" s="7"/>
      <c r="AA88" s="3"/>
      <c r="AB88" s="5"/>
      <c r="AC88" s="6"/>
      <c r="AD88" s="7"/>
      <c r="AE88" s="3"/>
      <c r="AF88" s="5"/>
      <c r="AG88" s="6"/>
      <c r="AH88" s="7"/>
      <c r="AI88" s="2"/>
      <c r="AJ88" s="2"/>
      <c r="AK88" s="2"/>
      <c r="AL88" s="2"/>
      <c r="AM88" s="3"/>
      <c r="AN88" s="5"/>
      <c r="AO88" s="6"/>
      <c r="AP88" s="7"/>
      <c r="AQ88" s="3"/>
      <c r="AR88" s="5"/>
      <c r="AS88" s="6"/>
      <c r="AT88" s="7"/>
      <c r="AU88" s="3"/>
      <c r="AV88" s="5"/>
      <c r="AW88" s="6"/>
      <c r="AX88" s="7"/>
      <c r="AY88" s="2"/>
      <c r="AZ88" s="2"/>
      <c r="BA88" s="2"/>
      <c r="BB88" s="2"/>
      <c r="BC88" s="3"/>
      <c r="BD88" s="5"/>
      <c r="BE88" s="6"/>
      <c r="BF88" s="7"/>
      <c r="BG88" s="3"/>
      <c r="BH88" s="5"/>
      <c r="BI88" s="6"/>
      <c r="BJ88" s="7"/>
      <c r="BK88" s="3"/>
      <c r="BL88" s="5"/>
      <c r="BM88" s="6"/>
      <c r="BN88" s="7"/>
      <c r="BO88" s="2"/>
      <c r="BP88" s="2"/>
      <c r="BQ88" s="2"/>
      <c r="BR88" s="2"/>
    </row>
    <row r="89" spans="2:70" ht="18.75" customHeight="1" x14ac:dyDescent="0.25">
      <c r="B89" s="8" t="s">
        <v>357</v>
      </c>
      <c r="C89" s="3" t="s">
        <v>165</v>
      </c>
      <c r="D89" s="3" t="s">
        <v>243</v>
      </c>
      <c r="E89" s="5" t="s">
        <v>358</v>
      </c>
      <c r="F89" s="5" t="s">
        <v>167</v>
      </c>
      <c r="G89" s="6" t="str">
        <f ca="1">IFERROR(__xludf.DUMMYFUNCTION("GOOGLETRANSLATE(B89,""ja"",""ko"")"),"블루 노리 부드러운 쇠고기 부카케")</f>
        <v>블루 노리 부드러운 쇠고기 부카케</v>
      </c>
      <c r="H89" s="6"/>
      <c r="I89" s="7" t="str">
        <f ca="1">IFERROR(__xludf.DUMMYFUNCTION("GOOGLETRANSLATE(B89,""ja"",""zh"")"),"青海嫩牛肉颜射")</f>
        <v>青海嫩牛肉颜射</v>
      </c>
      <c r="J89" s="7"/>
      <c r="K89" s="3" t="s">
        <v>165</v>
      </c>
      <c r="L89" s="3" t="s">
        <v>243</v>
      </c>
      <c r="M89" s="5" t="s">
        <v>358</v>
      </c>
      <c r="N89" s="5" t="s">
        <v>167</v>
      </c>
      <c r="O89" s="6" t="str">
        <f ca="1">IFERROR(__xludf.DUMMYFUNCTION("GOOGLETRANSLATE(B89,""ja"",""ko"")"),"블루 노리 부드러운 쇠고기 부카케")</f>
        <v>블루 노리 부드러운 쇠고기 부카케</v>
      </c>
      <c r="P89" s="6"/>
      <c r="Q89" s="7" t="str">
        <f ca="1">IFERROR(__xludf.DUMMYFUNCTION("GOOGLETRANSLATE(B89,""ja"",""zh"")"),"青海嫩牛肉颜射")</f>
        <v>青海嫩牛肉颜射</v>
      </c>
      <c r="R89" s="7"/>
      <c r="S89" s="3" t="s">
        <v>359</v>
      </c>
      <c r="T89" s="5" t="str">
        <f ca="1">IFERROR(__xludf.DUMMYFUNCTION("GOOGLETRANSLATE(S89,""ja"",""en"")"),"Blue meat bukkake")</f>
        <v>Blue meat bukkake</v>
      </c>
      <c r="U89" s="6" t="str">
        <f ca="1">IFERROR(__xludf.DUMMYFUNCTION("GOOGLETRANSLATE(S89,""ja"",""ko"")"),"푸른 고기 부카케")</f>
        <v>푸른 고기 부카케</v>
      </c>
      <c r="V89" s="7" t="str">
        <f ca="1">IFERROR(__xludf.DUMMYFUNCTION("GOOGLETRANSLATE(S89,""ja"",""zh"")"),"蓝色肉颜射")</f>
        <v>蓝色肉颜射</v>
      </c>
      <c r="W89" s="3"/>
      <c r="X89" s="5"/>
      <c r="Y89" s="6"/>
      <c r="Z89" s="7"/>
      <c r="AA89" s="3"/>
      <c r="AB89" s="5"/>
      <c r="AC89" s="6"/>
      <c r="AD89" s="7"/>
      <c r="AE89" s="3"/>
      <c r="AF89" s="5"/>
      <c r="AG89" s="6"/>
      <c r="AH89" s="7"/>
      <c r="AI89" s="2"/>
      <c r="AJ89" s="2"/>
      <c r="AK89" s="2"/>
      <c r="AL89" s="2"/>
      <c r="AM89" s="3"/>
      <c r="AN89" s="5"/>
      <c r="AO89" s="6"/>
      <c r="AP89" s="7"/>
      <c r="AQ89" s="3"/>
      <c r="AR89" s="5"/>
      <c r="AS89" s="6"/>
      <c r="AT89" s="7"/>
      <c r="AU89" s="3"/>
      <c r="AV89" s="5"/>
      <c r="AW89" s="6"/>
      <c r="AX89" s="7"/>
      <c r="AY89" s="2"/>
      <c r="AZ89" s="2"/>
      <c r="BA89" s="2"/>
      <c r="BB89" s="2"/>
      <c r="BC89" s="3"/>
      <c r="BD89" s="5"/>
      <c r="BE89" s="6"/>
      <c r="BF89" s="7"/>
      <c r="BG89" s="3"/>
      <c r="BH89" s="5"/>
      <c r="BI89" s="6"/>
      <c r="BJ89" s="7"/>
      <c r="BK89" s="3"/>
      <c r="BL89" s="5"/>
      <c r="BM89" s="6"/>
      <c r="BN89" s="7"/>
      <c r="BO89" s="2"/>
      <c r="BP89" s="2"/>
      <c r="BQ89" s="2"/>
      <c r="BR89" s="2"/>
    </row>
    <row r="90" spans="2:70" ht="18.75" customHeight="1" x14ac:dyDescent="0.25">
      <c r="B90" s="8" t="s">
        <v>360</v>
      </c>
      <c r="C90" s="3" t="s">
        <v>361</v>
      </c>
      <c r="D90" s="3" t="s">
        <v>243</v>
      </c>
      <c r="E90" s="5" t="s">
        <v>181</v>
      </c>
      <c r="F90" s="5" t="s">
        <v>118</v>
      </c>
      <c r="G90" s="6" t="str">
        <f ca="1">IFERROR(__xludf.DUMMYFUNCTION("GOOGLETRANSLATE(B90,""ja"",""ko"")"),"슈퍼 태어난 하늘 부카케")</f>
        <v>슈퍼 태어난 하늘 부카케</v>
      </c>
      <c r="H90" s="6"/>
      <c r="I90" s="7" t="str">
        <f ca="1">IFERROR(__xludf.DUMMYFUNCTION("GOOGLETRANSLATE(B90,""ja"",""zh"")"),"特厚鸡肉天妇罗颜射")</f>
        <v>特厚鸡肉天妇罗颜射</v>
      </c>
      <c r="J90" s="7"/>
      <c r="K90" s="3" t="s">
        <v>361</v>
      </c>
      <c r="L90" s="3" t="s">
        <v>243</v>
      </c>
      <c r="M90" s="5" t="s">
        <v>181</v>
      </c>
      <c r="N90" s="5" t="s">
        <v>118</v>
      </c>
      <c r="O90" s="6" t="str">
        <f ca="1">IFERROR(__xludf.DUMMYFUNCTION("GOOGLETRANSLATE(B90,""ja"",""ko"")"),"슈퍼 태어난 하늘 부카케")</f>
        <v>슈퍼 태어난 하늘 부카케</v>
      </c>
      <c r="P90" s="6"/>
      <c r="Q90" s="7" t="str">
        <f ca="1">IFERROR(__xludf.DUMMYFUNCTION("GOOGLETRANSLATE(B90,""ja"",""zh"")"),"特厚鸡肉天妇罗颜射")</f>
        <v>特厚鸡肉天妇罗颜射</v>
      </c>
      <c r="R90" s="7"/>
      <c r="S90" s="3" t="s">
        <v>362</v>
      </c>
      <c r="T90" s="5" t="str">
        <f ca="1">IFERROR(__xludf.DUMMYFUNCTION("GOOGLETRANSLATE(S90,""ja"",""en"")"),"Fat Toriten Bukkake")</f>
        <v>Fat Toriten Bukkake</v>
      </c>
      <c r="U90" s="6" t="str">
        <f ca="1">IFERROR(__xludf.DUMMYFUNCTION("GOOGLETRANSLATE(S90,""ja"",""ko"")"),"굵은 천국 부카케")</f>
        <v>굵은 천국 부카케</v>
      </c>
      <c r="V90" s="7" t="str">
        <f ca="1">IFERROR(__xludf.DUMMYFUNCTION("GOOGLETRANSLATE(S90,""ja"",""zh"")"),"胖鸟天颜射")</f>
        <v>胖鸟天颜射</v>
      </c>
      <c r="W90" s="3"/>
      <c r="X90" s="5"/>
      <c r="Y90" s="6"/>
      <c r="Z90" s="7"/>
      <c r="AA90" s="3"/>
      <c r="AB90" s="5"/>
      <c r="AC90" s="6"/>
      <c r="AD90" s="7"/>
      <c r="AE90" s="3"/>
      <c r="AF90" s="5"/>
      <c r="AG90" s="6"/>
      <c r="AH90" s="7"/>
      <c r="AI90" s="2"/>
      <c r="AJ90" s="2"/>
      <c r="AK90" s="2"/>
      <c r="AL90" s="2"/>
      <c r="AM90" s="3"/>
      <c r="AN90" s="5"/>
      <c r="AO90" s="6"/>
      <c r="AP90" s="7"/>
      <c r="AQ90" s="3"/>
      <c r="AR90" s="5"/>
      <c r="AS90" s="6"/>
      <c r="AT90" s="7"/>
      <c r="AU90" s="3"/>
      <c r="AV90" s="5"/>
      <c r="AW90" s="6"/>
      <c r="AX90" s="7"/>
      <c r="AY90" s="2"/>
      <c r="AZ90" s="2"/>
      <c r="BA90" s="2"/>
      <c r="BB90" s="2"/>
      <c r="BC90" s="3"/>
      <c r="BD90" s="5"/>
      <c r="BE90" s="6"/>
      <c r="BF90" s="7"/>
      <c r="BG90" s="3"/>
      <c r="BH90" s="5"/>
      <c r="BI90" s="6"/>
      <c r="BJ90" s="7"/>
      <c r="BK90" s="3"/>
      <c r="BL90" s="5"/>
      <c r="BM90" s="6"/>
      <c r="BN90" s="7"/>
      <c r="BO90" s="2"/>
      <c r="BP90" s="2"/>
      <c r="BQ90" s="2"/>
      <c r="BR90" s="2"/>
    </row>
    <row r="91" spans="2:70" ht="18.75" customHeight="1" x14ac:dyDescent="0.25">
      <c r="B91" s="8" t="s">
        <v>363</v>
      </c>
      <c r="C91" s="3" t="s">
        <v>364</v>
      </c>
      <c r="D91" s="3" t="s">
        <v>243</v>
      </c>
      <c r="E91" s="5" t="s">
        <v>181</v>
      </c>
      <c r="F91" s="5" t="s">
        <v>320</v>
      </c>
      <c r="G91" s="6" t="str">
        <f ca="1">IFERROR(__xludf.DUMMYFUNCTION("GOOGLETRANSLATE(B91,""ja"",""ko"")"),"푸른 노리 토리텐 부카케")</f>
        <v>푸른 노리 토리텐 부카케</v>
      </c>
      <c r="H91" s="6"/>
      <c r="I91" s="7" t="str">
        <f ca="1">IFERROR(__xludf.DUMMYFUNCTION("GOOGLETRANSLATE(B91,""ja"",""zh"")"),"青海鸡肉天妇罗颜射")</f>
        <v>青海鸡肉天妇罗颜射</v>
      </c>
      <c r="J91" s="7"/>
      <c r="K91" s="3" t="s">
        <v>364</v>
      </c>
      <c r="L91" s="3" t="s">
        <v>243</v>
      </c>
      <c r="M91" s="5" t="s">
        <v>181</v>
      </c>
      <c r="N91" s="5" t="s">
        <v>320</v>
      </c>
      <c r="O91" s="6" t="str">
        <f ca="1">IFERROR(__xludf.DUMMYFUNCTION("GOOGLETRANSLATE(B91,""ja"",""ko"")"),"푸른 노리 토리텐 부카케")</f>
        <v>푸른 노리 토리텐 부카케</v>
      </c>
      <c r="P91" s="6"/>
      <c r="Q91" s="7" t="str">
        <f ca="1">IFERROR(__xludf.DUMMYFUNCTION("GOOGLETRANSLATE(B91,""ja"",""zh"")"),"青海鸡肉天妇罗颜射")</f>
        <v>青海鸡肉天妇罗颜射</v>
      </c>
      <c r="R91" s="7"/>
      <c r="S91" s="3" t="s">
        <v>365</v>
      </c>
      <c r="T91" s="5" t="str">
        <f ca="1">IFERROR(__xludf.DUMMYFUNCTION("GOOGLETRANSLATE(S91,""ja"",""en"")"),"Blue chicken tempura bukkake")</f>
        <v>Blue chicken tempura bukkake</v>
      </c>
      <c r="U91" s="6" t="str">
        <f ca="1">IFERROR(__xludf.DUMMYFUNCTION("GOOGLETRANSLATE(S91,""ja"",""ko"")"),"블루 토리텐 부카케")</f>
        <v>블루 토리텐 부카케</v>
      </c>
      <c r="V91" s="7" t="str">
        <f ca="1">IFERROR(__xludf.DUMMYFUNCTION("GOOGLETRANSLATE(S91,""ja"",""zh"")"),"蓝鸡天妇罗颜射")</f>
        <v>蓝鸡天妇罗颜射</v>
      </c>
      <c r="W91" s="3"/>
      <c r="X91" s="5"/>
      <c r="Y91" s="6"/>
      <c r="Z91" s="7"/>
      <c r="AA91" s="3"/>
      <c r="AB91" s="5"/>
      <c r="AC91" s="6"/>
      <c r="AD91" s="7"/>
      <c r="AE91" s="3"/>
      <c r="AF91" s="5"/>
      <c r="AG91" s="6"/>
      <c r="AH91" s="7"/>
      <c r="AI91" s="2"/>
      <c r="AJ91" s="2"/>
      <c r="AK91" s="2"/>
      <c r="AL91" s="2"/>
      <c r="AM91" s="3"/>
      <c r="AN91" s="5"/>
      <c r="AO91" s="6"/>
      <c r="AP91" s="7"/>
      <c r="AQ91" s="3"/>
      <c r="AR91" s="5"/>
      <c r="AS91" s="6"/>
      <c r="AT91" s="7"/>
      <c r="AU91" s="3"/>
      <c r="AV91" s="5"/>
      <c r="AW91" s="6"/>
      <c r="AX91" s="7"/>
      <c r="AY91" s="2"/>
      <c r="AZ91" s="2"/>
      <c r="BA91" s="2"/>
      <c r="BB91" s="2"/>
      <c r="BC91" s="3"/>
      <c r="BD91" s="5"/>
      <c r="BE91" s="6"/>
      <c r="BF91" s="7"/>
      <c r="BG91" s="3"/>
      <c r="BH91" s="5"/>
      <c r="BI91" s="6"/>
      <c r="BJ91" s="7"/>
      <c r="BK91" s="3"/>
      <c r="BL91" s="5"/>
      <c r="BM91" s="6"/>
      <c r="BN91" s="7"/>
      <c r="BO91" s="2"/>
      <c r="BP91" s="2"/>
      <c r="BQ91" s="2"/>
      <c r="BR91" s="2"/>
    </row>
    <row r="92" spans="2:70" ht="18.75" customHeight="1" x14ac:dyDescent="0.25">
      <c r="B92" s="8" t="s">
        <v>366</v>
      </c>
      <c r="C92" s="3" t="s">
        <v>367</v>
      </c>
      <c r="D92" s="3" t="s">
        <v>243</v>
      </c>
      <c r="E92" s="5" t="s">
        <v>142</v>
      </c>
      <c r="F92" s="5" t="s">
        <v>368</v>
      </c>
      <c r="G92" s="6" t="str">
        <f ca="1">IFERROR(__xludf.DUMMYFUNCTION("GOOGLETRANSLATE(B92,""ja"",""ko"")"),"극단 코로케 부카케")</f>
        <v>극단 코로케 부카케</v>
      </c>
      <c r="H92" s="6"/>
      <c r="I92" s="7" t="str">
        <f ca="1">IFERROR(__xludf.DUMMYFUNCTION("GOOGLETRANSLATE(B92,""ja"",""zh"")"),"超厚炸丸子颜射")</f>
        <v>超厚炸丸子颜射</v>
      </c>
      <c r="J92" s="7"/>
      <c r="K92" s="3" t="s">
        <v>367</v>
      </c>
      <c r="L92" s="3" t="s">
        <v>243</v>
      </c>
      <c r="M92" s="5" t="s">
        <v>142</v>
      </c>
      <c r="N92" s="5" t="s">
        <v>368</v>
      </c>
      <c r="O92" s="6" t="str">
        <f ca="1">IFERROR(__xludf.DUMMYFUNCTION("GOOGLETRANSLATE(B92,""ja"",""ko"")"),"극단 코로케 부카케")</f>
        <v>극단 코로케 부카케</v>
      </c>
      <c r="P92" s="6"/>
      <c r="Q92" s="7" t="str">
        <f ca="1">IFERROR(__xludf.DUMMYFUNCTION("GOOGLETRANSLATE(B92,""ja"",""zh"")"),"超厚炸丸子颜射")</f>
        <v>超厚炸丸子颜射</v>
      </c>
      <c r="R92" s="7"/>
      <c r="S92" s="3" t="s">
        <v>369</v>
      </c>
      <c r="T92" s="5" t="str">
        <f ca="1">IFERROR(__xludf.DUMMYFUNCTION("GOOGLETRANSLATE(S92,""ja"",""en"")"),"Thick croquette bukka")</f>
        <v>Thick croquette bukka</v>
      </c>
      <c r="U92" s="6" t="str">
        <f ca="1">IFERROR(__xludf.DUMMYFUNCTION("GOOGLETRANSLATE(S92,""ja"",""ko"")"),"굵은 고로케 부카")</f>
        <v>굵은 고로케 부카</v>
      </c>
      <c r="V92" s="7" t="str">
        <f ca="1">IFERROR(__xludf.DUMMYFUNCTION("GOOGLETRANSLATE(S92,""ja"",""zh"")"),"厚炸丸子 bukka")</f>
        <v>厚炸丸子 bukka</v>
      </c>
      <c r="W92" s="3"/>
      <c r="X92" s="5"/>
      <c r="Y92" s="6"/>
      <c r="Z92" s="7"/>
      <c r="AA92" s="3"/>
      <c r="AB92" s="5"/>
      <c r="AC92" s="6"/>
      <c r="AD92" s="7"/>
      <c r="AE92" s="3"/>
      <c r="AF92" s="5"/>
      <c r="AG92" s="6"/>
      <c r="AH92" s="7"/>
      <c r="AI92" s="2"/>
      <c r="AJ92" s="2"/>
      <c r="AK92" s="2"/>
      <c r="AL92" s="2"/>
      <c r="AM92" s="3"/>
      <c r="AN92" s="5"/>
      <c r="AO92" s="6"/>
      <c r="AP92" s="7"/>
      <c r="AQ92" s="3"/>
      <c r="AR92" s="5"/>
      <c r="AS92" s="6"/>
      <c r="AT92" s="7"/>
      <c r="AU92" s="3"/>
      <c r="AV92" s="5"/>
      <c r="AW92" s="6"/>
      <c r="AX92" s="7"/>
      <c r="AY92" s="2"/>
      <c r="AZ92" s="2"/>
      <c r="BA92" s="2"/>
      <c r="BB92" s="2"/>
      <c r="BC92" s="3"/>
      <c r="BD92" s="5"/>
      <c r="BE92" s="6"/>
      <c r="BF92" s="7"/>
      <c r="BG92" s="3"/>
      <c r="BH92" s="5"/>
      <c r="BI92" s="6"/>
      <c r="BJ92" s="7"/>
      <c r="BK92" s="3"/>
      <c r="BL92" s="5"/>
      <c r="BM92" s="6"/>
      <c r="BN92" s="7"/>
      <c r="BO92" s="2"/>
      <c r="BP92" s="2"/>
      <c r="BQ92" s="2"/>
      <c r="BR92" s="2"/>
    </row>
    <row r="93" spans="2:70" ht="18.75" customHeight="1" x14ac:dyDescent="0.25">
      <c r="B93" s="8" t="s">
        <v>370</v>
      </c>
      <c r="C93" s="3" t="s">
        <v>371</v>
      </c>
      <c r="D93" s="3" t="s">
        <v>243</v>
      </c>
      <c r="E93" s="5" t="s">
        <v>142</v>
      </c>
      <c r="F93" s="5" t="s">
        <v>372</v>
      </c>
      <c r="G93" s="6" t="str">
        <f ca="1">IFERROR(__xludf.DUMMYFUNCTION("GOOGLETRANSLATE(B93,""ja"",""ko"")"),"블루 노리 코로케 부카케")</f>
        <v>블루 노리 코로케 부카케</v>
      </c>
      <c r="H93" s="6"/>
      <c r="I93" s="7" t="str">
        <f ca="1">IFERROR(__xludf.DUMMYFUNCTION("GOOGLETRANSLATE(B93,""ja"",""zh"")"),"青典炸丸子颜射")</f>
        <v>青典炸丸子颜射</v>
      </c>
      <c r="J93" s="7"/>
      <c r="K93" s="3" t="s">
        <v>371</v>
      </c>
      <c r="L93" s="3" t="s">
        <v>243</v>
      </c>
      <c r="M93" s="5" t="s">
        <v>142</v>
      </c>
      <c r="N93" s="5" t="s">
        <v>372</v>
      </c>
      <c r="O93" s="6" t="str">
        <f ca="1">IFERROR(__xludf.DUMMYFUNCTION("GOOGLETRANSLATE(B93,""ja"",""ko"")"),"블루 노리 코로케 부카케")</f>
        <v>블루 노리 코로케 부카케</v>
      </c>
      <c r="P93" s="6"/>
      <c r="Q93" s="7" t="str">
        <f ca="1">IFERROR(__xludf.DUMMYFUNCTION("GOOGLETRANSLATE(B93,""ja"",""zh"")"),"青典炸丸子颜射")</f>
        <v>青典炸丸子颜射</v>
      </c>
      <c r="R93" s="7"/>
      <c r="S93" s="3" t="s">
        <v>373</v>
      </c>
      <c r="T93" s="5" t="str">
        <f ca="1">IFERROR(__xludf.DUMMYFUNCTION("GOOGLETRANSLATE(S93,""ja"",""en"")"),"Blue croquette bukkake")</f>
        <v>Blue croquette bukkake</v>
      </c>
      <c r="U93" s="6" t="str">
        <f ca="1">IFERROR(__xludf.DUMMYFUNCTION("GOOGLETRANSLATE(S93,""ja"",""ko"")"),"푸른 고로케 부카케")</f>
        <v>푸른 고로케 부카케</v>
      </c>
      <c r="V93" s="7" t="str">
        <f ca="1">IFERROR(__xludf.DUMMYFUNCTION("GOOGLETRANSLATE(S93,""ja"",""zh"")"),"蓝色炸丸子颜射")</f>
        <v>蓝色炸丸子颜射</v>
      </c>
      <c r="W93" s="3"/>
      <c r="X93" s="5"/>
      <c r="Y93" s="6"/>
      <c r="Z93" s="7"/>
      <c r="AA93" s="3"/>
      <c r="AB93" s="5"/>
      <c r="AC93" s="6"/>
      <c r="AD93" s="7"/>
      <c r="AE93" s="3"/>
      <c r="AF93" s="5"/>
      <c r="AG93" s="6"/>
      <c r="AH93" s="7"/>
      <c r="AI93" s="2"/>
      <c r="AJ93" s="2"/>
      <c r="AK93" s="2"/>
      <c r="AL93" s="2"/>
      <c r="AM93" s="3"/>
      <c r="AN93" s="5"/>
      <c r="AO93" s="6"/>
      <c r="AP93" s="7"/>
      <c r="AQ93" s="3"/>
      <c r="AR93" s="5"/>
      <c r="AS93" s="6"/>
      <c r="AT93" s="7"/>
      <c r="AU93" s="3"/>
      <c r="AV93" s="5"/>
      <c r="AW93" s="6"/>
      <c r="AX93" s="7"/>
      <c r="AY93" s="2"/>
      <c r="AZ93" s="2"/>
      <c r="BA93" s="2"/>
      <c r="BB93" s="2"/>
      <c r="BC93" s="3"/>
      <c r="BD93" s="5"/>
      <c r="BE93" s="6"/>
      <c r="BF93" s="7"/>
      <c r="BG93" s="3"/>
      <c r="BH93" s="5"/>
      <c r="BI93" s="6"/>
      <c r="BJ93" s="7"/>
      <c r="BK93" s="3"/>
      <c r="BL93" s="5"/>
      <c r="BM93" s="6"/>
      <c r="BN93" s="7"/>
      <c r="BO93" s="2"/>
      <c r="BP93" s="2"/>
      <c r="BQ93" s="2"/>
      <c r="BR93" s="2"/>
    </row>
    <row r="94" spans="2:70" ht="18.75" customHeight="1" x14ac:dyDescent="0.25">
      <c r="B94" s="8" t="s">
        <v>374</v>
      </c>
      <c r="C94" s="3" t="s">
        <v>375</v>
      </c>
      <c r="D94" s="3" t="s">
        <v>243</v>
      </c>
      <c r="E94" s="5" t="s">
        <v>263</v>
      </c>
      <c r="F94" s="5" t="s">
        <v>376</v>
      </c>
      <c r="G94" s="6" t="str">
        <f ca="1">IFERROR(__xludf.DUMMYFUNCTION("GOOGLETRANSLATE(B94,""ja"",""ko"")"),"극태 타누키 부카케")</f>
        <v>극태 타누키 부카케</v>
      </c>
      <c r="H94" s="6"/>
      <c r="I94" s="7" t="str">
        <f ca="1">IFERROR(__xludf.DUMMYFUNCTION("GOOGLETRANSLATE(B94,""ja"",""zh"")"),"超厚浣熊颜射")</f>
        <v>超厚浣熊颜射</v>
      </c>
      <c r="J94" s="7"/>
      <c r="K94" s="3" t="s">
        <v>375</v>
      </c>
      <c r="L94" s="3" t="s">
        <v>243</v>
      </c>
      <c r="M94" s="5" t="s">
        <v>263</v>
      </c>
      <c r="N94" s="5" t="s">
        <v>376</v>
      </c>
      <c r="O94" s="6" t="str">
        <f ca="1">IFERROR(__xludf.DUMMYFUNCTION("GOOGLETRANSLATE(B94,""ja"",""ko"")"),"극태 타누키 부카케")</f>
        <v>극태 타누키 부카케</v>
      </c>
      <c r="P94" s="6"/>
      <c r="Q94" s="7" t="str">
        <f ca="1">IFERROR(__xludf.DUMMYFUNCTION("GOOGLETRANSLATE(B94,""ja"",""zh"")"),"超厚浣熊颜射")</f>
        <v>超厚浣熊颜射</v>
      </c>
      <c r="R94" s="7"/>
      <c r="S94" s="3" t="s">
        <v>377</v>
      </c>
      <c r="T94" s="5" t="str">
        <f ca="1">IFERROR(__xludf.DUMMYFUNCTION("GOOGLETRANSLATE(S94,""ja"",""en"")"),"Fat raccoon bukkake")</f>
        <v>Fat raccoon bukkake</v>
      </c>
      <c r="U94" s="6" t="str">
        <f ca="1">IFERROR(__xludf.DUMMYFUNCTION("GOOGLETRANSLATE(S94,""ja"",""ko"")"),"굵은 타누키 부카케")</f>
        <v>굵은 타누키 부카케</v>
      </c>
      <c r="V94" s="7" t="str">
        <f ca="1">IFERROR(__xludf.DUMMYFUNCTION("GOOGLETRANSLATE(S94,""ja"",""zh"")"),"胖浣熊颜射")</f>
        <v>胖浣熊颜射</v>
      </c>
      <c r="W94" s="3"/>
      <c r="X94" s="5"/>
      <c r="Y94" s="6"/>
      <c r="Z94" s="7"/>
      <c r="AA94" s="3"/>
      <c r="AB94" s="5"/>
      <c r="AC94" s="6"/>
      <c r="AD94" s="7"/>
      <c r="AE94" s="3"/>
      <c r="AF94" s="5"/>
      <c r="AG94" s="6"/>
      <c r="AH94" s="7"/>
      <c r="AI94" s="2"/>
      <c r="AJ94" s="2"/>
      <c r="AK94" s="2"/>
      <c r="AL94" s="2"/>
      <c r="AM94" s="3"/>
      <c r="AN94" s="5"/>
      <c r="AO94" s="6"/>
      <c r="AP94" s="7"/>
      <c r="AQ94" s="3"/>
      <c r="AR94" s="5"/>
      <c r="AS94" s="6"/>
      <c r="AT94" s="7"/>
      <c r="AU94" s="3"/>
      <c r="AV94" s="5"/>
      <c r="AW94" s="6"/>
      <c r="AX94" s="7"/>
      <c r="AY94" s="2"/>
      <c r="AZ94" s="2"/>
      <c r="BA94" s="2"/>
      <c r="BB94" s="2"/>
      <c r="BC94" s="3"/>
      <c r="BD94" s="5"/>
      <c r="BE94" s="6"/>
      <c r="BF94" s="7"/>
      <c r="BG94" s="3"/>
      <c r="BH94" s="5"/>
      <c r="BI94" s="6"/>
      <c r="BJ94" s="7"/>
      <c r="BK94" s="3"/>
      <c r="BL94" s="5"/>
      <c r="BM94" s="6"/>
      <c r="BN94" s="7"/>
      <c r="BO94" s="2"/>
      <c r="BP94" s="2"/>
      <c r="BQ94" s="2"/>
      <c r="BR94" s="2"/>
    </row>
    <row r="95" spans="2:70" ht="18.75" customHeight="1" x14ac:dyDescent="0.25">
      <c r="B95" s="8" t="s">
        <v>378</v>
      </c>
      <c r="C95" s="3" t="s">
        <v>379</v>
      </c>
      <c r="D95" s="3" t="s">
        <v>243</v>
      </c>
      <c r="E95" s="5" t="s">
        <v>380</v>
      </c>
      <c r="F95" s="5" t="s">
        <v>381</v>
      </c>
      <c r="G95" s="6" t="str">
        <f ca="1">IFERROR(__xludf.DUMMYFUNCTION("GOOGLETRANSLATE(B95,""ja"",""ko"")"),"블루 노리 타 누키 부카케")</f>
        <v>블루 노리 타 누키 부카케</v>
      </c>
      <c r="H95" s="6"/>
      <c r="I95" s="7" t="str">
        <f ca="1">IFERROR(__xludf.DUMMYFUNCTION("GOOGLETRANSLATE(B95,""ja"",""zh"")"),"青典浣熊颜射")</f>
        <v>青典浣熊颜射</v>
      </c>
      <c r="J95" s="7"/>
      <c r="K95" s="3" t="s">
        <v>379</v>
      </c>
      <c r="L95" s="3" t="s">
        <v>243</v>
      </c>
      <c r="M95" s="5" t="s">
        <v>380</v>
      </c>
      <c r="N95" s="5" t="s">
        <v>381</v>
      </c>
      <c r="O95" s="6" t="str">
        <f ca="1">IFERROR(__xludf.DUMMYFUNCTION("GOOGLETRANSLATE(B95,""ja"",""ko"")"),"블루 노리 타 누키 부카케")</f>
        <v>블루 노리 타 누키 부카케</v>
      </c>
      <c r="P95" s="6"/>
      <c r="Q95" s="7" t="str">
        <f ca="1">IFERROR(__xludf.DUMMYFUNCTION("GOOGLETRANSLATE(B95,""ja"",""zh"")"),"青典浣熊颜射")</f>
        <v>青典浣熊颜射</v>
      </c>
      <c r="R95" s="7"/>
      <c r="S95" s="3" t="s">
        <v>382</v>
      </c>
      <c r="T95" s="5" t="str">
        <f ca="1">IFERROR(__xludf.DUMMYFUNCTION("GOOGLETRANSLATE(S95,""ja"",""en"")"),"Blue raccoon bukkake")</f>
        <v>Blue raccoon bukkake</v>
      </c>
      <c r="U95" s="6" t="str">
        <f ca="1">IFERROR(__xludf.DUMMYFUNCTION("GOOGLETRANSLATE(S95,""ja"",""ko"")"),"푸른 타누키 부카케")</f>
        <v>푸른 타누키 부카케</v>
      </c>
      <c r="V95" s="7" t="str">
        <f ca="1">IFERROR(__xludf.DUMMYFUNCTION("GOOGLETRANSLATE(S95,""ja"",""zh"")"),"蓝色浣熊颜射")</f>
        <v>蓝色浣熊颜射</v>
      </c>
      <c r="W95" s="3"/>
      <c r="X95" s="5"/>
      <c r="Y95" s="6"/>
      <c r="Z95" s="7"/>
      <c r="AA95" s="3"/>
      <c r="AB95" s="5"/>
      <c r="AC95" s="6"/>
      <c r="AD95" s="7"/>
      <c r="AE95" s="3"/>
      <c r="AF95" s="5"/>
      <c r="AG95" s="6"/>
      <c r="AH95" s="7"/>
      <c r="AI95" s="2"/>
      <c r="AJ95" s="2"/>
      <c r="AK95" s="2"/>
      <c r="AL95" s="2"/>
      <c r="AM95" s="3"/>
      <c r="AN95" s="5"/>
      <c r="AO95" s="6"/>
      <c r="AP95" s="7"/>
      <c r="AQ95" s="3"/>
      <c r="AR95" s="5"/>
      <c r="AS95" s="6"/>
      <c r="AT95" s="7"/>
      <c r="AU95" s="3"/>
      <c r="AV95" s="5"/>
      <c r="AW95" s="6"/>
      <c r="AX95" s="7"/>
      <c r="AY95" s="2"/>
      <c r="AZ95" s="2"/>
      <c r="BA95" s="2"/>
      <c r="BB95" s="2"/>
      <c r="BC95" s="3"/>
      <c r="BD95" s="5"/>
      <c r="BE95" s="6"/>
      <c r="BF95" s="7"/>
      <c r="BG95" s="3"/>
      <c r="BH95" s="5"/>
      <c r="BI95" s="6"/>
      <c r="BJ95" s="7"/>
      <c r="BK95" s="3"/>
      <c r="BL95" s="5"/>
      <c r="BM95" s="6"/>
      <c r="BN95" s="7"/>
      <c r="BO95" s="2"/>
      <c r="BP95" s="2"/>
      <c r="BQ95" s="2"/>
      <c r="BR95" s="2"/>
    </row>
    <row r="96" spans="2:70" ht="18.75" customHeight="1" x14ac:dyDescent="0.25">
      <c r="B96" s="8" t="s">
        <v>383</v>
      </c>
      <c r="C96" s="3" t="s">
        <v>384</v>
      </c>
      <c r="D96" s="3" t="s">
        <v>243</v>
      </c>
      <c r="E96" s="5" t="s">
        <v>188</v>
      </c>
      <c r="F96" s="5" t="s">
        <v>381</v>
      </c>
      <c r="G96" s="6" t="str">
        <f ca="1">IFERROR(__xludf.DUMMYFUNCTION("GOOGLETRANSLATE(B96,""ja"",""ko"")"),"극단 새우 하늘 부카케")</f>
        <v>극단 새우 하늘 부카케</v>
      </c>
      <c r="H96" s="6"/>
      <c r="I96" s="7" t="str">
        <f ca="1">IFERROR(__xludf.DUMMYFUNCTION("GOOGLETRANSLATE(B96,""ja"",""zh"")"),"特厚虾天妇罗颜射")</f>
        <v>特厚虾天妇罗颜射</v>
      </c>
      <c r="J96" s="7"/>
      <c r="K96" s="3" t="s">
        <v>384</v>
      </c>
      <c r="L96" s="3" t="s">
        <v>243</v>
      </c>
      <c r="M96" s="5" t="s">
        <v>188</v>
      </c>
      <c r="N96" s="5" t="s">
        <v>381</v>
      </c>
      <c r="O96" s="6" t="str">
        <f ca="1">IFERROR(__xludf.DUMMYFUNCTION("GOOGLETRANSLATE(B96,""ja"",""ko"")"),"극단 새우 하늘 부카케")</f>
        <v>극단 새우 하늘 부카케</v>
      </c>
      <c r="P96" s="6"/>
      <c r="Q96" s="7" t="str">
        <f ca="1">IFERROR(__xludf.DUMMYFUNCTION("GOOGLETRANSLATE(B96,""ja"",""zh"")"),"特厚虾天妇罗颜射")</f>
        <v>特厚虾天妇罗颜射</v>
      </c>
      <c r="R96" s="7"/>
      <c r="S96" s="3" t="s">
        <v>385</v>
      </c>
      <c r="T96" s="5" t="str">
        <f ca="1">IFERROR(__xludf.DUMMYFUNCTION("GOOGLETRANSLATE(S96,""ja"",""en"")"),"Thick shrimp tempura bukkake")</f>
        <v>Thick shrimp tempura bukkake</v>
      </c>
      <c r="U96" s="6" t="str">
        <f ca="1">IFERROR(__xludf.DUMMYFUNCTION("GOOGLETRANSLATE(S96,""ja"",""ko"")"),"굵은 새우 하늘 부카케")</f>
        <v>굵은 새우 하늘 부카케</v>
      </c>
      <c r="V96" s="7" t="str">
        <f ca="1">IFERROR(__xludf.DUMMYFUNCTION("GOOGLETRANSLATE(S96,""ja"",""zh"")"),"厚虾天妇罗颜射")</f>
        <v>厚虾天妇罗颜射</v>
      </c>
      <c r="W96" s="3"/>
      <c r="X96" s="5"/>
      <c r="Y96" s="6"/>
      <c r="Z96" s="7"/>
      <c r="AA96" s="3"/>
      <c r="AB96" s="5"/>
      <c r="AC96" s="6"/>
      <c r="AD96" s="7"/>
      <c r="AE96" s="3"/>
      <c r="AF96" s="5"/>
      <c r="AG96" s="6"/>
      <c r="AH96" s="7"/>
      <c r="AI96" s="2"/>
      <c r="AJ96" s="2"/>
      <c r="AK96" s="2"/>
      <c r="AL96" s="2"/>
      <c r="AM96" s="3"/>
      <c r="AN96" s="5"/>
      <c r="AO96" s="6"/>
      <c r="AP96" s="7"/>
      <c r="AQ96" s="3"/>
      <c r="AR96" s="5"/>
      <c r="AS96" s="6"/>
      <c r="AT96" s="7"/>
      <c r="AU96" s="3"/>
      <c r="AV96" s="5"/>
      <c r="AW96" s="6"/>
      <c r="AX96" s="7"/>
      <c r="AY96" s="2"/>
      <c r="AZ96" s="2"/>
      <c r="BA96" s="2"/>
      <c r="BB96" s="2"/>
      <c r="BC96" s="3"/>
      <c r="BD96" s="5"/>
      <c r="BE96" s="6"/>
      <c r="BF96" s="7"/>
      <c r="BG96" s="3"/>
      <c r="BH96" s="5"/>
      <c r="BI96" s="6"/>
      <c r="BJ96" s="7"/>
      <c r="BK96" s="3"/>
      <c r="BL96" s="5"/>
      <c r="BM96" s="6"/>
      <c r="BN96" s="7"/>
      <c r="BO96" s="2"/>
      <c r="BP96" s="2"/>
      <c r="BQ96" s="2"/>
      <c r="BR96" s="2"/>
    </row>
    <row r="97" spans="2:70" ht="18.75" customHeight="1" x14ac:dyDescent="0.25">
      <c r="B97" s="8" t="s">
        <v>386</v>
      </c>
      <c r="C97" s="3" t="s">
        <v>387</v>
      </c>
      <c r="D97" s="3" t="s">
        <v>243</v>
      </c>
      <c r="E97" s="5" t="s">
        <v>388</v>
      </c>
      <c r="F97" s="5" t="s">
        <v>368</v>
      </c>
      <c r="G97" s="6" t="str">
        <f ca="1">IFERROR(__xludf.DUMMYFUNCTION("GOOGLETRANSLATE(B97,""ja"",""ko"")"),"푸른 노리 새우 하늘 부카케")</f>
        <v>푸른 노리 새우 하늘 부카케</v>
      </c>
      <c r="H97" s="6"/>
      <c r="I97" s="7" t="str">
        <f ca="1">IFERROR(__xludf.DUMMYFUNCTION("GOOGLETRANSLATE(B97,""ja"",""zh"")"),"青海虾天妇罗颜射")</f>
        <v>青海虾天妇罗颜射</v>
      </c>
      <c r="J97" s="7"/>
      <c r="K97" s="3" t="s">
        <v>387</v>
      </c>
      <c r="L97" s="3" t="s">
        <v>243</v>
      </c>
      <c r="M97" s="5" t="s">
        <v>388</v>
      </c>
      <c r="N97" s="5" t="s">
        <v>368</v>
      </c>
      <c r="O97" s="6" t="str">
        <f ca="1">IFERROR(__xludf.DUMMYFUNCTION("GOOGLETRANSLATE(B97,""ja"",""ko"")"),"푸른 노리 새우 하늘 부카케")</f>
        <v>푸른 노리 새우 하늘 부카케</v>
      </c>
      <c r="P97" s="6"/>
      <c r="Q97" s="7" t="str">
        <f ca="1">IFERROR(__xludf.DUMMYFUNCTION("GOOGLETRANSLATE(B97,""ja"",""zh"")"),"青海虾天妇罗颜射")</f>
        <v>青海虾天妇罗颜射</v>
      </c>
      <c r="R97" s="7"/>
      <c r="S97" s="3" t="s">
        <v>389</v>
      </c>
      <c r="T97" s="5" t="str">
        <f ca="1">IFERROR(__xludf.DUMMYFUNCTION("GOOGLETRANSLATE(S97,""ja"",""en"")"),"Blue shrimp tempura bukkake")</f>
        <v>Blue shrimp tempura bukkake</v>
      </c>
      <c r="U97" s="6" t="str">
        <f ca="1">IFERROR(__xludf.DUMMYFUNCTION("GOOGLETRANSLATE(S97,""ja"",""ko"")"),"푸른 새우 하늘 부카케")</f>
        <v>푸른 새우 하늘 부카케</v>
      </c>
      <c r="V97" s="7" t="str">
        <f ca="1">IFERROR(__xludf.DUMMYFUNCTION("GOOGLETRANSLATE(S97,""ja"",""zh"")"),"蓝虾天妇罗颜射")</f>
        <v>蓝虾天妇罗颜射</v>
      </c>
      <c r="W97" s="3"/>
      <c r="X97" s="5"/>
      <c r="Y97" s="6"/>
      <c r="Z97" s="7"/>
      <c r="AA97" s="3"/>
      <c r="AB97" s="5"/>
      <c r="AC97" s="6"/>
      <c r="AD97" s="7"/>
      <c r="AE97" s="3"/>
      <c r="AF97" s="5"/>
      <c r="AG97" s="6"/>
      <c r="AH97" s="7"/>
      <c r="AI97" s="2"/>
      <c r="AJ97" s="2"/>
      <c r="AK97" s="2"/>
      <c r="AL97" s="2"/>
      <c r="AM97" s="3"/>
      <c r="AN97" s="5"/>
      <c r="AO97" s="6"/>
      <c r="AP97" s="7"/>
      <c r="AQ97" s="3"/>
      <c r="AR97" s="5"/>
      <c r="AS97" s="6"/>
      <c r="AT97" s="7"/>
      <c r="AU97" s="3"/>
      <c r="AV97" s="5"/>
      <c r="AW97" s="6"/>
      <c r="AX97" s="7"/>
      <c r="AY97" s="2"/>
      <c r="AZ97" s="2"/>
      <c r="BA97" s="2"/>
      <c r="BB97" s="2"/>
      <c r="BC97" s="3"/>
      <c r="BD97" s="5"/>
      <c r="BE97" s="6"/>
      <c r="BF97" s="7"/>
      <c r="BG97" s="3"/>
      <c r="BH97" s="5"/>
      <c r="BI97" s="6"/>
      <c r="BJ97" s="7"/>
      <c r="BK97" s="3"/>
      <c r="BL97" s="5"/>
      <c r="BM97" s="6"/>
      <c r="BN97" s="7"/>
      <c r="BO97" s="2"/>
      <c r="BP97" s="2"/>
      <c r="BQ97" s="2"/>
      <c r="BR97" s="2"/>
    </row>
    <row r="98" spans="2:70" ht="18.75" customHeight="1" x14ac:dyDescent="0.25">
      <c r="B98" s="8" t="s">
        <v>390</v>
      </c>
      <c r="C98" s="3" t="s">
        <v>316</v>
      </c>
      <c r="D98" s="3" t="s">
        <v>243</v>
      </c>
      <c r="E98" s="5" t="s">
        <v>317</v>
      </c>
      <c r="F98" s="5" t="s">
        <v>381</v>
      </c>
      <c r="G98" s="6" t="str">
        <f ca="1">IFERROR(__xludf.DUMMYFUNCTION("GOOGLETRANSLATE(B98,""ja"",""ko"")"),"극단 두번 봐 nameko 부카케")</f>
        <v>극단 두번 봐 nameko 부카케</v>
      </c>
      <c r="H98" s="6"/>
      <c r="I98" s="7" t="str">
        <f ca="1">IFERROR(__xludf.DUMMYFUNCTION("GOOGLETRANSLATE(B98,""ja"",""zh"")"),"极其厚的两次看起来 Meko 颜射")</f>
        <v>极其厚的两次看起来 Meko 颜射</v>
      </c>
      <c r="J98" s="7"/>
      <c r="K98" s="3" t="s">
        <v>316</v>
      </c>
      <c r="L98" s="3" t="s">
        <v>243</v>
      </c>
      <c r="M98" s="5" t="s">
        <v>317</v>
      </c>
      <c r="N98" s="5" t="s">
        <v>381</v>
      </c>
      <c r="O98" s="6" t="str">
        <f ca="1">IFERROR(__xludf.DUMMYFUNCTION("GOOGLETRANSLATE(B98,""ja"",""ko"")"),"극단 두번 봐 nameko 부카케")</f>
        <v>극단 두번 봐 nameko 부카케</v>
      </c>
      <c r="P98" s="6"/>
      <c r="Q98" s="7" t="str">
        <f ca="1">IFERROR(__xludf.DUMMYFUNCTION("GOOGLETRANSLATE(B98,""ja"",""zh"")"),"极其厚的两次看起来 Meko 颜射")</f>
        <v>极其厚的两次看起来 Meko 颜射</v>
      </c>
      <c r="R98" s="7"/>
      <c r="S98" s="3" t="s">
        <v>316</v>
      </c>
      <c r="T98" s="5" t="str">
        <f ca="1">IFERROR(__xludf.DUMMYFUNCTION("GOOGLETRANSLATE(S98,""ja"",""en"")"),"Very Thick Meko Twice")</f>
        <v>Very Thick Meko Twice</v>
      </c>
      <c r="U98" s="6" t="str">
        <f ca="1">IFERROR(__xludf.DUMMYFUNCTION("GOOGLETRANSLATE(S98,""ja"",""ko"")"),"극태 두번 봐나메코")</f>
        <v>극태 두번 봐나메코</v>
      </c>
      <c r="V98" s="7" t="str">
        <f ca="1">IFERROR(__xludf.DUMMYFUNCTION("GOOGLETRANSLATE(S98,""ja"",""zh"")"),"非常厚的 Meko 两次")</f>
        <v>非常厚的 Meko 两次</v>
      </c>
      <c r="W98" s="3"/>
      <c r="X98" s="5"/>
      <c r="Y98" s="6"/>
      <c r="Z98" s="7"/>
      <c r="AA98" s="3"/>
      <c r="AB98" s="5"/>
      <c r="AC98" s="6"/>
      <c r="AD98" s="7"/>
      <c r="AE98" s="3"/>
      <c r="AF98" s="5"/>
      <c r="AG98" s="6"/>
      <c r="AH98" s="7"/>
      <c r="AI98" s="2"/>
      <c r="AJ98" s="2"/>
      <c r="AK98" s="2"/>
      <c r="AL98" s="2"/>
      <c r="AM98" s="3"/>
      <c r="AN98" s="5"/>
      <c r="AO98" s="6"/>
      <c r="AP98" s="7"/>
      <c r="AQ98" s="3"/>
      <c r="AR98" s="5"/>
      <c r="AS98" s="6"/>
      <c r="AT98" s="7"/>
      <c r="AU98" s="3"/>
      <c r="AV98" s="5"/>
      <c r="AW98" s="6"/>
      <c r="AX98" s="7"/>
      <c r="AY98" s="2"/>
      <c r="AZ98" s="2"/>
      <c r="BA98" s="2"/>
      <c r="BB98" s="2"/>
      <c r="BC98" s="3"/>
      <c r="BD98" s="5"/>
      <c r="BE98" s="6"/>
      <c r="BF98" s="7"/>
      <c r="BG98" s="3"/>
      <c r="BH98" s="5"/>
      <c r="BI98" s="6"/>
      <c r="BJ98" s="7"/>
      <c r="BK98" s="3"/>
      <c r="BL98" s="5"/>
      <c r="BM98" s="6"/>
      <c r="BN98" s="7"/>
      <c r="BO98" s="2"/>
      <c r="BP98" s="2"/>
      <c r="BQ98" s="2"/>
      <c r="BR98" s="2"/>
    </row>
    <row r="99" spans="2:70" ht="18.75" customHeight="1" x14ac:dyDescent="0.25">
      <c r="B99" s="8" t="s">
        <v>391</v>
      </c>
      <c r="C99" s="3" t="s">
        <v>392</v>
      </c>
      <c r="D99" s="3" t="s">
        <v>243</v>
      </c>
      <c r="E99" s="5" t="s">
        <v>326</v>
      </c>
      <c r="F99" s="5" t="s">
        <v>263</v>
      </c>
      <c r="G99" s="6" t="str">
        <f ca="1">IFERROR(__xludf.DUMMYFUNCTION("GOOGLETRANSLATE(B99,""ja"",""ko"")"),"극태 오니 카니카마 하늘 부카케")</f>
        <v>극태 오니 카니카마 하늘 부카케</v>
      </c>
      <c r="H99" s="6"/>
      <c r="I99" s="7" t="str">
        <f ca="1">IFERROR(__xludf.DUMMYFUNCTION("GOOGLETRANSLATE(B99,""ja"",""zh"")"),"超厚恶魔蟹棒颜射")</f>
        <v>超厚恶魔蟹棒颜射</v>
      </c>
      <c r="J99" s="7"/>
      <c r="K99" s="3" t="s">
        <v>392</v>
      </c>
      <c r="L99" s="3" t="s">
        <v>243</v>
      </c>
      <c r="M99" s="5" t="s">
        <v>326</v>
      </c>
      <c r="N99" s="5" t="s">
        <v>263</v>
      </c>
      <c r="O99" s="6" t="str">
        <f ca="1">IFERROR(__xludf.DUMMYFUNCTION("GOOGLETRANSLATE(B99,""ja"",""ko"")"),"극태 오니 카니카마 하늘 부카케")</f>
        <v>극태 오니 카니카마 하늘 부카케</v>
      </c>
      <c r="P99" s="6"/>
      <c r="Q99" s="7" t="str">
        <f ca="1">IFERROR(__xludf.DUMMYFUNCTION("GOOGLETRANSLATE(B99,""ja"",""zh"")"),"超厚恶魔蟹棒颜射")</f>
        <v>超厚恶魔蟹棒颜射</v>
      </c>
      <c r="R99" s="7"/>
      <c r="S99" s="3" t="s">
        <v>393</v>
      </c>
      <c r="T99" s="5" t="str">
        <f ca="1">IFERROR(__xludf.DUMMYFUNCTION("GOOGLETRANSLATE(S99,""ja"",""en"")"),"Thick crab stick bukka")</f>
        <v>Thick crab stick bukka</v>
      </c>
      <c r="U99" s="6" t="str">
        <f ca="1">IFERROR(__xludf.DUMMYFUNCTION("GOOGLETRANSLATE(S99,""ja"",""ko"")"),"굵은 카니카마 부카")</f>
        <v>굵은 카니카마 부카</v>
      </c>
      <c r="V99" s="7" t="str">
        <f ca="1">IFERROR(__xludf.DUMMYFUNCTION("GOOGLETRANSLATE(S99,""ja"",""zh"")"),"粗蟹棒 bukka")</f>
        <v>粗蟹棒 bukka</v>
      </c>
      <c r="W99" s="3"/>
      <c r="X99" s="5"/>
      <c r="Y99" s="6"/>
      <c r="Z99" s="7"/>
      <c r="AA99" s="3"/>
      <c r="AB99" s="5"/>
      <c r="AC99" s="6"/>
      <c r="AD99" s="7"/>
      <c r="AE99" s="3"/>
      <c r="AF99" s="5"/>
      <c r="AG99" s="6"/>
      <c r="AH99" s="7"/>
      <c r="AI99" s="2"/>
      <c r="AJ99" s="2"/>
      <c r="AK99" s="2"/>
      <c r="AL99" s="2"/>
      <c r="AM99" s="3"/>
      <c r="AN99" s="5"/>
      <c r="AO99" s="6"/>
      <c r="AP99" s="7"/>
      <c r="AQ99" s="3"/>
      <c r="AR99" s="5"/>
      <c r="AS99" s="6"/>
      <c r="AT99" s="7"/>
      <c r="AU99" s="3"/>
      <c r="AV99" s="5"/>
      <c r="AW99" s="6"/>
      <c r="AX99" s="7"/>
      <c r="AY99" s="2"/>
      <c r="AZ99" s="2"/>
      <c r="BA99" s="2"/>
      <c r="BB99" s="2"/>
      <c r="BC99" s="3"/>
      <c r="BD99" s="5"/>
      <c r="BE99" s="6"/>
      <c r="BF99" s="7"/>
      <c r="BG99" s="3"/>
      <c r="BH99" s="5"/>
      <c r="BI99" s="6"/>
      <c r="BJ99" s="7"/>
      <c r="BK99" s="3"/>
      <c r="BL99" s="5"/>
      <c r="BM99" s="6"/>
      <c r="BN99" s="7"/>
      <c r="BO99" s="2"/>
      <c r="BP99" s="2"/>
      <c r="BQ99" s="2"/>
      <c r="BR99" s="2"/>
    </row>
    <row r="100" spans="2:70" ht="18.75" customHeight="1" x14ac:dyDescent="0.25">
      <c r="B100" s="8" t="s">
        <v>394</v>
      </c>
      <c r="C100" s="3" t="s">
        <v>395</v>
      </c>
      <c r="D100" s="3" t="s">
        <v>243</v>
      </c>
      <c r="E100" s="5" t="s">
        <v>396</v>
      </c>
      <c r="F100" s="5" t="s">
        <v>326</v>
      </c>
      <c r="G100" s="6" t="str">
        <f ca="1">IFERROR(__xludf.DUMMYFUNCTION("GOOGLETRANSLATE(B100,""ja"",""ko"")"),"푸른 노리 악마 가니 카마 하늘 부카케")</f>
        <v>푸른 노리 악마 가니 카마 하늘 부카케</v>
      </c>
      <c r="H100" s="6"/>
      <c r="I100" s="7" t="str">
        <f ca="1">IFERROR(__xludf.DUMMYFUNCTION("GOOGLETRANSLATE(B100,""ja"",""zh"")"),"青海鬼蟹天妇罗颜射")</f>
        <v>青海鬼蟹天妇罗颜射</v>
      </c>
      <c r="J100" s="7"/>
      <c r="K100" s="3" t="s">
        <v>395</v>
      </c>
      <c r="L100" s="3" t="s">
        <v>243</v>
      </c>
      <c r="M100" s="5" t="s">
        <v>396</v>
      </c>
      <c r="N100" s="5" t="s">
        <v>326</v>
      </c>
      <c r="O100" s="6" t="str">
        <f ca="1">IFERROR(__xludf.DUMMYFUNCTION("GOOGLETRANSLATE(B100,""ja"",""ko"")"),"푸른 노리 악마 가니 카마 하늘 부카케")</f>
        <v>푸른 노리 악마 가니 카마 하늘 부카케</v>
      </c>
      <c r="P100" s="6"/>
      <c r="Q100" s="7" t="str">
        <f ca="1">IFERROR(__xludf.DUMMYFUNCTION("GOOGLETRANSLATE(B100,""ja"",""zh"")"),"青海鬼蟹天妇罗颜射")</f>
        <v>青海鬼蟹天妇罗颜射</v>
      </c>
      <c r="R100" s="7"/>
      <c r="S100" s="3" t="s">
        <v>397</v>
      </c>
      <c r="T100" s="5" t="str">
        <f ca="1">IFERROR(__xludf.DUMMYFUNCTION("GOOGLETRANSLATE(S100,""ja"",""en"")"),"Blue crab stick bukka")</f>
        <v>Blue crab stick bukka</v>
      </c>
      <c r="U100" s="6" t="str">
        <f ca="1">IFERROR(__xludf.DUMMYFUNCTION("GOOGLETRANSLATE(S100,""ja"",""ko"")"),"블루 카니카마 부카")</f>
        <v>블루 카니카마 부카</v>
      </c>
      <c r="V100" s="7" t="str">
        <f ca="1">IFERROR(__xludf.DUMMYFUNCTION("GOOGLETRANSLATE(S100,""ja"",""zh"")"),"蓝蟹棒 bukka")</f>
        <v>蓝蟹棒 bukka</v>
      </c>
      <c r="W100" s="3"/>
      <c r="X100" s="5"/>
      <c r="Y100" s="6"/>
      <c r="Z100" s="7"/>
      <c r="AA100" s="3"/>
      <c r="AB100" s="5"/>
      <c r="AC100" s="6"/>
      <c r="AD100" s="7"/>
      <c r="AE100" s="3"/>
      <c r="AF100" s="5"/>
      <c r="AG100" s="6"/>
      <c r="AH100" s="7"/>
      <c r="AI100" s="2"/>
      <c r="AJ100" s="2"/>
      <c r="AK100" s="2"/>
      <c r="AL100" s="2"/>
      <c r="AM100" s="3"/>
      <c r="AN100" s="5"/>
      <c r="AO100" s="6"/>
      <c r="AP100" s="7"/>
      <c r="AQ100" s="3"/>
      <c r="AR100" s="5"/>
      <c r="AS100" s="6"/>
      <c r="AT100" s="7"/>
      <c r="AU100" s="3"/>
      <c r="AV100" s="5"/>
      <c r="AW100" s="6"/>
      <c r="AX100" s="7"/>
      <c r="AY100" s="2"/>
      <c r="AZ100" s="2"/>
      <c r="BA100" s="2"/>
      <c r="BB100" s="2"/>
      <c r="BC100" s="3"/>
      <c r="BD100" s="5"/>
      <c r="BE100" s="6"/>
      <c r="BF100" s="7"/>
      <c r="BG100" s="3"/>
      <c r="BH100" s="5"/>
      <c r="BI100" s="6"/>
      <c r="BJ100" s="7"/>
      <c r="BK100" s="3"/>
      <c r="BL100" s="5"/>
      <c r="BM100" s="6"/>
      <c r="BN100" s="7"/>
      <c r="BO100" s="2"/>
      <c r="BP100" s="2"/>
      <c r="BQ100" s="2"/>
      <c r="BR100" s="2"/>
    </row>
    <row r="101" spans="2:70" ht="18.75" customHeight="1" x14ac:dyDescent="0.25">
      <c r="B101" s="8" t="s">
        <v>398</v>
      </c>
      <c r="C101" s="3" t="s">
        <v>399</v>
      </c>
      <c r="D101" s="3" t="s">
        <v>243</v>
      </c>
      <c r="E101" s="5" t="s">
        <v>263</v>
      </c>
      <c r="F101" s="5" t="s">
        <v>206</v>
      </c>
      <c r="G101" s="6" t="str">
        <f ca="1">IFERROR(__xludf.DUMMYFUNCTION("GOOGLETRANSLATE(B101,""ja"",""ko"")"),"극단 치쿠와 천 부카케")</f>
        <v>극단 치쿠와 천 부카케</v>
      </c>
      <c r="H101" s="6"/>
      <c r="I101" s="7" t="str">
        <f ca="1">IFERROR(__xludf.DUMMYFUNCTION("GOOGLETRANSLATE(B101,""ja"",""zh"")"),"特厚竹轮天妇罗颜射")</f>
        <v>特厚竹轮天妇罗颜射</v>
      </c>
      <c r="J101" s="7"/>
      <c r="K101" s="3" t="s">
        <v>399</v>
      </c>
      <c r="L101" s="3" t="s">
        <v>243</v>
      </c>
      <c r="M101" s="5" t="s">
        <v>263</v>
      </c>
      <c r="N101" s="5" t="s">
        <v>206</v>
      </c>
      <c r="O101" s="6" t="str">
        <f ca="1">IFERROR(__xludf.DUMMYFUNCTION("GOOGLETRANSLATE(B101,""ja"",""ko"")"),"극단 치쿠와 천 부카케")</f>
        <v>극단 치쿠와 천 부카케</v>
      </c>
      <c r="P101" s="6"/>
      <c r="Q101" s="7" t="str">
        <f ca="1">IFERROR(__xludf.DUMMYFUNCTION("GOOGLETRANSLATE(B101,""ja"",""zh"")"),"特厚竹轮天妇罗颜射")</f>
        <v>特厚竹轮天妇罗颜射</v>
      </c>
      <c r="R101" s="7"/>
      <c r="S101" s="3" t="s">
        <v>400</v>
      </c>
      <c r="T101" s="5" t="str">
        <f ca="1">IFERROR(__xludf.DUMMYFUNCTION("GOOGLETRANSLATE(S101,""ja"",""en"")"),"Thick chikuwa tempura bukka")</f>
        <v>Thick chikuwa tempura bukka</v>
      </c>
      <c r="U101" s="6" t="str">
        <f ca="1">IFERROR(__xludf.DUMMYFUNCTION("GOOGLETRANSLATE(S101,""ja"",""ko"")"),"타이 치쿠와 텐 브카")</f>
        <v>타이 치쿠와 텐 브카</v>
      </c>
      <c r="V101" s="7" t="str">
        <f ca="1">IFERROR(__xludf.DUMMYFUNCTION("GOOGLETRANSLATE(S101,""ja"",""zh"")"),"厚厚的竹轮天妇罗 bukka")</f>
        <v>厚厚的竹轮天妇罗 bukka</v>
      </c>
      <c r="W101" s="3"/>
      <c r="X101" s="5"/>
      <c r="Y101" s="6"/>
      <c r="Z101" s="7"/>
      <c r="AA101" s="3"/>
      <c r="AB101" s="5"/>
      <c r="AC101" s="6"/>
      <c r="AD101" s="7"/>
      <c r="AE101" s="3"/>
      <c r="AF101" s="5"/>
      <c r="AG101" s="6"/>
      <c r="AH101" s="7"/>
      <c r="AI101" s="2"/>
      <c r="AJ101" s="2"/>
      <c r="AK101" s="2"/>
      <c r="AL101" s="2"/>
      <c r="AM101" s="3"/>
      <c r="AN101" s="5"/>
      <c r="AO101" s="6"/>
      <c r="AP101" s="7"/>
      <c r="AQ101" s="3"/>
      <c r="AR101" s="5"/>
      <c r="AS101" s="6"/>
      <c r="AT101" s="7"/>
      <c r="AU101" s="3"/>
      <c r="AV101" s="5"/>
      <c r="AW101" s="6"/>
      <c r="AX101" s="7"/>
      <c r="AY101" s="2"/>
      <c r="AZ101" s="2"/>
      <c r="BA101" s="2"/>
      <c r="BB101" s="2"/>
      <c r="BC101" s="3"/>
      <c r="BD101" s="5"/>
      <c r="BE101" s="6"/>
      <c r="BF101" s="7"/>
      <c r="BG101" s="3"/>
      <c r="BH101" s="5"/>
      <c r="BI101" s="6"/>
      <c r="BJ101" s="7"/>
      <c r="BK101" s="3"/>
      <c r="BL101" s="5"/>
      <c r="BM101" s="6"/>
      <c r="BN101" s="7"/>
      <c r="BO101" s="2"/>
      <c r="BP101" s="2"/>
      <c r="BQ101" s="2"/>
      <c r="BR101" s="2"/>
    </row>
    <row r="102" spans="2:70" ht="18.75" customHeight="1" x14ac:dyDescent="0.25">
      <c r="B102" s="8" t="s">
        <v>401</v>
      </c>
      <c r="C102" s="3" t="s">
        <v>402</v>
      </c>
      <c r="D102" s="3" t="s">
        <v>243</v>
      </c>
      <c r="E102" s="5" t="s">
        <v>396</v>
      </c>
      <c r="F102" s="5" t="s">
        <v>206</v>
      </c>
      <c r="G102" s="6" t="str">
        <f ca="1">IFERROR(__xludf.DUMMYFUNCTION("GOOGLETRANSLATE(B102,""ja"",""ko"")"),"푸른 노리 치쿠와 텐 부카케")</f>
        <v>푸른 노리 치쿠와 텐 부카케</v>
      </c>
      <c r="H102" s="6"/>
      <c r="I102" s="7" t="str">
        <f ca="1">IFERROR(__xludf.DUMMYFUNCTION("GOOGLETRANSLATE(B102,""ja"",""zh"")"),"青典竹轮天妇罗颜射")</f>
        <v>青典竹轮天妇罗颜射</v>
      </c>
      <c r="J102" s="7"/>
      <c r="K102" s="3" t="s">
        <v>402</v>
      </c>
      <c r="L102" s="3" t="s">
        <v>243</v>
      </c>
      <c r="M102" s="5" t="s">
        <v>396</v>
      </c>
      <c r="N102" s="5" t="s">
        <v>206</v>
      </c>
      <c r="O102" s="6" t="str">
        <f ca="1">IFERROR(__xludf.DUMMYFUNCTION("GOOGLETRANSLATE(B102,""ja"",""ko"")"),"푸른 노리 치쿠와 텐 부카케")</f>
        <v>푸른 노리 치쿠와 텐 부카케</v>
      </c>
      <c r="P102" s="6"/>
      <c r="Q102" s="7" t="str">
        <f ca="1">IFERROR(__xludf.DUMMYFUNCTION("GOOGLETRANSLATE(B102,""ja"",""zh"")"),"青典竹轮天妇罗颜射")</f>
        <v>青典竹轮天妇罗颜射</v>
      </c>
      <c r="R102" s="7"/>
      <c r="S102" s="3" t="s">
        <v>403</v>
      </c>
      <c r="T102" s="5" t="str">
        <f ca="1">IFERROR(__xludf.DUMMYFUNCTION("GOOGLETRANSLATE(S102,""ja"",""en"")"),"Blue Chikuwa tempura Bukka")</f>
        <v>Blue Chikuwa tempura Bukka</v>
      </c>
      <c r="U102" s="6" t="str">
        <f ca="1">IFERROR(__xludf.DUMMYFUNCTION("GOOGLETRANSLATE(S102,""ja"",""ko"")"),"푸른 치쿠와 텐 부카")</f>
        <v>푸른 치쿠와 텐 부카</v>
      </c>
      <c r="V102" s="7" t="str">
        <f ca="1">IFERROR(__xludf.DUMMYFUNCTION("GOOGLETRANSLATE(S102,""ja"",""zh"")"),"蓝色竹轮天妇罗 Bukka")</f>
        <v>蓝色竹轮天妇罗 Bukka</v>
      </c>
      <c r="W102" s="3"/>
      <c r="X102" s="5"/>
      <c r="Y102" s="6"/>
      <c r="Z102" s="7"/>
      <c r="AA102" s="3"/>
      <c r="AB102" s="5"/>
      <c r="AC102" s="6"/>
      <c r="AD102" s="7"/>
      <c r="AE102" s="3"/>
      <c r="AF102" s="5"/>
      <c r="AG102" s="6"/>
      <c r="AH102" s="7"/>
      <c r="AI102" s="2"/>
      <c r="AJ102" s="2"/>
      <c r="AK102" s="2"/>
      <c r="AL102" s="2"/>
      <c r="AM102" s="3"/>
      <c r="AN102" s="5"/>
      <c r="AO102" s="6"/>
      <c r="AP102" s="7"/>
      <c r="AQ102" s="3"/>
      <c r="AR102" s="5"/>
      <c r="AS102" s="6"/>
      <c r="AT102" s="7"/>
      <c r="AU102" s="3"/>
      <c r="AV102" s="5"/>
      <c r="AW102" s="6"/>
      <c r="AX102" s="7"/>
      <c r="AY102" s="2"/>
      <c r="AZ102" s="2"/>
      <c r="BA102" s="2"/>
      <c r="BB102" s="2"/>
      <c r="BC102" s="3"/>
      <c r="BD102" s="5"/>
      <c r="BE102" s="6"/>
      <c r="BF102" s="7"/>
      <c r="BG102" s="3"/>
      <c r="BH102" s="5"/>
      <c r="BI102" s="6"/>
      <c r="BJ102" s="7"/>
      <c r="BK102" s="3"/>
      <c r="BL102" s="5"/>
      <c r="BM102" s="6"/>
      <c r="BN102" s="7"/>
      <c r="BO102" s="2"/>
      <c r="BP102" s="2"/>
      <c r="BQ102" s="2"/>
      <c r="BR102" s="2"/>
    </row>
    <row r="103" spans="2:70" ht="18.75" customHeight="1" x14ac:dyDescent="0.25">
      <c r="B103" s="8" t="s">
        <v>404</v>
      </c>
      <c r="C103" s="3" t="s">
        <v>405</v>
      </c>
      <c r="D103" s="3" t="s">
        <v>243</v>
      </c>
      <c r="E103" s="5" t="s">
        <v>406</v>
      </c>
      <c r="F103" s="5" t="s">
        <v>407</v>
      </c>
      <c r="G103" s="6" t="str">
        <f ca="1">IFERROR(__xludf.DUMMYFUNCTION("GOOGLETRANSLATE(B103,""ja"",""ko"")"),"극단 특대 튀김 뿌려")</f>
        <v>극단 특대 튀김 뿌려</v>
      </c>
      <c r="H103" s="6"/>
      <c r="I103" s="7" t="str">
        <f ca="1">IFERROR(__xludf.DUMMYFUNCTION("GOOGLETRANSLATE(B103,""ja"",""zh"")"),"特厚特大 kakiage 颜射")</f>
        <v>特厚特大 kakiage 颜射</v>
      </c>
      <c r="J103" s="7"/>
      <c r="K103" s="3" t="s">
        <v>405</v>
      </c>
      <c r="L103" s="3" t="s">
        <v>243</v>
      </c>
      <c r="M103" s="5" t="s">
        <v>406</v>
      </c>
      <c r="N103" s="5" t="s">
        <v>407</v>
      </c>
      <c r="O103" s="6" t="str">
        <f ca="1">IFERROR(__xludf.DUMMYFUNCTION("GOOGLETRANSLATE(B103,""ja"",""ko"")"),"극단 특대 튀김 뿌려")</f>
        <v>극단 특대 튀김 뿌려</v>
      </c>
      <c r="P103" s="6"/>
      <c r="Q103" s="7" t="str">
        <f ca="1">IFERROR(__xludf.DUMMYFUNCTION("GOOGLETRANSLATE(B103,""ja"",""zh"")"),"特厚特大 kakiage 颜射")</f>
        <v>特厚特大 kakiage 颜射</v>
      </c>
      <c r="R103" s="7"/>
      <c r="S103" s="3" t="s">
        <v>405</v>
      </c>
      <c r="T103" s="5" t="str">
        <f ca="1">IFERROR(__xludf.DUMMYFUNCTION("GOOGLETRANSLATE(S103,""ja"",""en"")"),"Extra thick extra large kakiage")</f>
        <v>Extra thick extra large kakiage</v>
      </c>
      <c r="U103" s="6" t="str">
        <f ca="1">IFERROR(__xludf.DUMMYFUNCTION("GOOGLETRANSLATE(S103,""ja"",""ko"")"),"극단 특대 튀김")</f>
        <v>극단 특대 튀김</v>
      </c>
      <c r="V103" s="7" t="str">
        <f ca="1">IFERROR(__xludf.DUMMYFUNCTION("GOOGLETRANSLATE(S103,""ja"",""zh"")"),"特厚特大号炸薯条")</f>
        <v>特厚特大号炸薯条</v>
      </c>
      <c r="W103" s="3"/>
      <c r="X103" s="5"/>
      <c r="Y103" s="6"/>
      <c r="Z103" s="7"/>
      <c r="AA103" s="3"/>
      <c r="AB103" s="5"/>
      <c r="AC103" s="6"/>
      <c r="AD103" s="7"/>
      <c r="AE103" s="3"/>
      <c r="AF103" s="5"/>
      <c r="AG103" s="6"/>
      <c r="AH103" s="7"/>
      <c r="AI103" s="2"/>
      <c r="AJ103" s="2"/>
      <c r="AK103" s="2"/>
      <c r="AL103" s="2"/>
      <c r="AM103" s="3"/>
      <c r="AN103" s="5"/>
      <c r="AO103" s="6"/>
      <c r="AP103" s="7"/>
      <c r="AQ103" s="3"/>
      <c r="AR103" s="5"/>
      <c r="AS103" s="6"/>
      <c r="AT103" s="7"/>
      <c r="AU103" s="3"/>
      <c r="AV103" s="5"/>
      <c r="AW103" s="6"/>
      <c r="AX103" s="7"/>
      <c r="AY103" s="2"/>
      <c r="AZ103" s="2"/>
      <c r="BA103" s="2"/>
      <c r="BB103" s="2"/>
      <c r="BC103" s="3"/>
      <c r="BD103" s="5"/>
      <c r="BE103" s="6"/>
      <c r="BF103" s="7"/>
      <c r="BG103" s="3"/>
      <c r="BH103" s="5"/>
      <c r="BI103" s="6"/>
      <c r="BJ103" s="7"/>
      <c r="BK103" s="3"/>
      <c r="BL103" s="5"/>
      <c r="BM103" s="6"/>
      <c r="BN103" s="7"/>
      <c r="BO103" s="2"/>
      <c r="BP103" s="2"/>
      <c r="BQ103" s="2"/>
      <c r="BR103" s="2"/>
    </row>
    <row r="104" spans="2:70" ht="18.75" customHeight="1" x14ac:dyDescent="0.25">
      <c r="B104" s="8" t="s">
        <v>408</v>
      </c>
      <c r="C104" s="3" t="s">
        <v>409</v>
      </c>
      <c r="D104" s="3" t="s">
        <v>410</v>
      </c>
      <c r="E104" s="5" t="s">
        <v>411</v>
      </c>
      <c r="F104" s="5" t="s">
        <v>412</v>
      </c>
      <c r="G104" s="6" t="str">
        <f ca="1">IFERROR(__xludf.DUMMYFUNCTION("GOOGLETRANSLATE(B104,""ja"",""ko"")"),"푸른 노리 특대 튀김 뿌려")</f>
        <v>푸른 노리 특대 튀김 뿌려</v>
      </c>
      <c r="H104" s="6"/>
      <c r="I104" s="7" t="str">
        <f ca="1">IFERROR(__xludf.DUMMYFUNCTION("GOOGLETRANSLATE(B104,""ja"",""zh"")"),"青海特大号炸炸颜射")</f>
        <v>青海特大号炸炸颜射</v>
      </c>
      <c r="J104" s="7"/>
      <c r="K104" s="3" t="s">
        <v>409</v>
      </c>
      <c r="L104" s="3" t="s">
        <v>410</v>
      </c>
      <c r="M104" s="5" t="s">
        <v>411</v>
      </c>
      <c r="N104" s="5" t="s">
        <v>412</v>
      </c>
      <c r="O104" s="6" t="str">
        <f ca="1">IFERROR(__xludf.DUMMYFUNCTION("GOOGLETRANSLATE(B104,""ja"",""ko"")"),"푸른 노리 특대 튀김 뿌려")</f>
        <v>푸른 노리 특대 튀김 뿌려</v>
      </c>
      <c r="P104" s="6"/>
      <c r="Q104" s="7" t="str">
        <f ca="1">IFERROR(__xludf.DUMMYFUNCTION("GOOGLETRANSLATE(B104,""ja"",""zh"")"),"青海特大号炸炸颜射")</f>
        <v>青海特大号炸炸颜射</v>
      </c>
      <c r="R104" s="7"/>
      <c r="S104" s="3" t="s">
        <v>409</v>
      </c>
      <c r="T104" s="5" t="str">
        <f ca="1">IFERROR(__xludf.DUMMYFUNCTION("GOOGLETRANSLATE(S104,""ja"",""en"")"),"Aonori Extra Large Kakiage")</f>
        <v>Aonori Extra Large Kakiage</v>
      </c>
      <c r="U104" s="6" t="str">
        <f ca="1">IFERROR(__xludf.DUMMYFUNCTION("GOOGLETRANSLATE(S104,""ja"",""ko"")"),"블루 노리 특대 튀김")</f>
        <v>블루 노리 특대 튀김</v>
      </c>
      <c r="V104" s="7" t="str">
        <f ca="1">IFERROR(__xludf.DUMMYFUNCTION("GOOGLETRANSLATE(S104,""ja"",""zh"")"),"青海特大炸柿子")</f>
        <v>青海特大炸柿子</v>
      </c>
      <c r="W104" s="3"/>
      <c r="X104" s="5"/>
      <c r="Y104" s="6"/>
      <c r="Z104" s="7"/>
      <c r="AA104" s="3"/>
      <c r="AB104" s="5"/>
      <c r="AC104" s="6"/>
      <c r="AD104" s="7"/>
      <c r="AE104" s="3"/>
      <c r="AF104" s="5"/>
      <c r="AG104" s="6"/>
      <c r="AH104" s="7"/>
      <c r="AI104" s="2"/>
      <c r="AJ104" s="2"/>
      <c r="AK104" s="2"/>
      <c r="AL104" s="2"/>
      <c r="AM104" s="3"/>
      <c r="AN104" s="5"/>
      <c r="AO104" s="6"/>
      <c r="AP104" s="7"/>
      <c r="AQ104" s="3"/>
      <c r="AR104" s="5"/>
      <c r="AS104" s="6"/>
      <c r="AT104" s="7"/>
      <c r="AU104" s="3"/>
      <c r="AV104" s="5"/>
      <c r="AW104" s="6"/>
      <c r="AX104" s="7"/>
      <c r="AY104" s="2"/>
      <c r="AZ104" s="2"/>
      <c r="BA104" s="2"/>
      <c r="BB104" s="2"/>
      <c r="BC104" s="3"/>
      <c r="BD104" s="5"/>
      <c r="BE104" s="6"/>
      <c r="BF104" s="7"/>
      <c r="BG104" s="3"/>
      <c r="BH104" s="5"/>
      <c r="BI104" s="6"/>
      <c r="BJ104" s="7"/>
      <c r="BK104" s="3"/>
      <c r="BL104" s="5"/>
      <c r="BM104" s="6"/>
      <c r="BN104" s="7"/>
      <c r="BO104" s="2"/>
      <c r="BP104" s="2"/>
      <c r="BQ104" s="2"/>
      <c r="BR104" s="2"/>
    </row>
    <row r="105" spans="2:70" ht="18.75" customHeight="1" x14ac:dyDescent="0.25">
      <c r="B105" s="8" t="s">
        <v>413</v>
      </c>
      <c r="C105" s="3" t="s">
        <v>414</v>
      </c>
      <c r="D105" s="3" t="s">
        <v>243</v>
      </c>
      <c r="E105" s="5" t="s">
        <v>263</v>
      </c>
      <c r="F105" s="5" t="s">
        <v>415</v>
      </c>
      <c r="G105" s="6" t="str">
        <f ca="1">IFERROR(__xludf.DUMMYFUNCTION("GOOGLETRANSLATE(B105,""ja"",""ko"")"),"극단의 오징어 하늘 부카케")</f>
        <v>극단의 오징어 하늘 부카케</v>
      </c>
      <c r="H105" s="6"/>
      <c r="I105" s="7" t="str">
        <f ca="1">IFERROR(__xludf.DUMMYFUNCTION("GOOGLETRANSLATE(B105,""ja"",""zh"")"),"特厚鱿鱼颜射")</f>
        <v>特厚鱿鱼颜射</v>
      </c>
      <c r="J105" s="7"/>
      <c r="K105" s="3" t="s">
        <v>414</v>
      </c>
      <c r="L105" s="3" t="s">
        <v>243</v>
      </c>
      <c r="M105" s="5" t="s">
        <v>263</v>
      </c>
      <c r="N105" s="5" t="s">
        <v>415</v>
      </c>
      <c r="O105" s="6" t="str">
        <f ca="1">IFERROR(__xludf.DUMMYFUNCTION("GOOGLETRANSLATE(B105,""ja"",""ko"")"),"극단의 오징어 하늘 부카케")</f>
        <v>극단의 오징어 하늘 부카케</v>
      </c>
      <c r="P105" s="6"/>
      <c r="Q105" s="7" t="str">
        <f ca="1">IFERROR(__xludf.DUMMYFUNCTION("GOOGLETRANSLATE(B105,""ja"",""zh"")"),"特厚鱿鱼颜射")</f>
        <v>特厚鱿鱼颜射</v>
      </c>
      <c r="R105" s="7"/>
      <c r="S105" s="3" t="s">
        <v>416</v>
      </c>
      <c r="T105" s="5" t="str">
        <f ca="1">IFERROR(__xludf.DUMMYFUNCTION("GOOGLETRANSLATE(S105,""ja"",""en"")"),"Fat squid bukkake")</f>
        <v>Fat squid bukkake</v>
      </c>
      <c r="U105" s="6" t="str">
        <f ca="1">IFERROR(__xludf.DUMMYFUNCTION("GOOGLETRANSLATE(S105,""ja"",""ko"")"),"굵은 오징어 하늘 부카케")</f>
        <v>굵은 오징어 하늘 부카케</v>
      </c>
      <c r="V105" s="7" t="str">
        <f ca="1">IFERROR(__xludf.DUMMYFUNCTION("GOOGLETRANSLATE(S105,""ja"",""zh"")"),"肥鱿鱼颜射")</f>
        <v>肥鱿鱼颜射</v>
      </c>
      <c r="W105" s="3"/>
      <c r="X105" s="5"/>
      <c r="Y105" s="6"/>
      <c r="Z105" s="7"/>
      <c r="AA105" s="3"/>
      <c r="AB105" s="5"/>
      <c r="AC105" s="6"/>
      <c r="AD105" s="7"/>
      <c r="AE105" s="3"/>
      <c r="AF105" s="5"/>
      <c r="AG105" s="6"/>
      <c r="AH105" s="7"/>
      <c r="AI105" s="2"/>
      <c r="AJ105" s="2"/>
      <c r="AK105" s="2"/>
      <c r="AL105" s="2"/>
      <c r="AM105" s="3"/>
      <c r="AN105" s="5"/>
      <c r="AO105" s="6"/>
      <c r="AP105" s="7"/>
      <c r="AQ105" s="3"/>
      <c r="AR105" s="5"/>
      <c r="AS105" s="6"/>
      <c r="AT105" s="7"/>
      <c r="AU105" s="3"/>
      <c r="AV105" s="5"/>
      <c r="AW105" s="6"/>
      <c r="AX105" s="7"/>
      <c r="AY105" s="2"/>
      <c r="AZ105" s="2"/>
      <c r="BA105" s="2"/>
      <c r="BB105" s="2"/>
      <c r="BC105" s="3"/>
      <c r="BD105" s="5"/>
      <c r="BE105" s="6"/>
      <c r="BF105" s="7"/>
      <c r="BG105" s="3"/>
      <c r="BH105" s="5"/>
      <c r="BI105" s="6"/>
      <c r="BJ105" s="7"/>
      <c r="BK105" s="3"/>
      <c r="BL105" s="5"/>
      <c r="BM105" s="6"/>
      <c r="BN105" s="7"/>
      <c r="BO105" s="2"/>
      <c r="BP105" s="2"/>
      <c r="BQ105" s="2"/>
      <c r="BR105" s="2"/>
    </row>
    <row r="106" spans="2:70" ht="18.75" customHeight="1" x14ac:dyDescent="0.25">
      <c r="B106" s="8" t="s">
        <v>417</v>
      </c>
      <c r="C106" s="3" t="s">
        <v>418</v>
      </c>
      <c r="D106" s="3" t="s">
        <v>243</v>
      </c>
      <c r="E106" s="5" t="s">
        <v>396</v>
      </c>
      <c r="F106" s="5" t="s">
        <v>415</v>
      </c>
      <c r="G106" s="6" t="str">
        <f ca="1">IFERROR(__xludf.DUMMYFUNCTION("GOOGLETRANSLATE(B106,""ja"",""ko"")"),"푸른 노리 오징어 하늘 부카케")</f>
        <v>푸른 노리 오징어 하늘 부카케</v>
      </c>
      <c r="H106" s="6"/>
      <c r="I106" s="7" t="str">
        <f ca="1">IFERROR(__xludf.DUMMYFUNCTION("GOOGLETRANSLATE(B106,""ja"",""zh"")"),"青海鱿鱼颜射")</f>
        <v>青海鱿鱼颜射</v>
      </c>
      <c r="J106" s="7"/>
      <c r="K106" s="3" t="s">
        <v>418</v>
      </c>
      <c r="L106" s="3" t="s">
        <v>243</v>
      </c>
      <c r="M106" s="5" t="s">
        <v>396</v>
      </c>
      <c r="N106" s="5" t="s">
        <v>415</v>
      </c>
      <c r="O106" s="6" t="str">
        <f ca="1">IFERROR(__xludf.DUMMYFUNCTION("GOOGLETRANSLATE(B106,""ja"",""ko"")"),"푸른 노리 오징어 하늘 부카케")</f>
        <v>푸른 노리 오징어 하늘 부카케</v>
      </c>
      <c r="P106" s="6"/>
      <c r="Q106" s="7" t="str">
        <f ca="1">IFERROR(__xludf.DUMMYFUNCTION("GOOGLETRANSLATE(B106,""ja"",""zh"")"),"青海鱿鱼颜射")</f>
        <v>青海鱿鱼颜射</v>
      </c>
      <c r="R106" s="7"/>
      <c r="S106" s="3" t="s">
        <v>419</v>
      </c>
      <c r="T106" s="5" t="str">
        <f ca="1">IFERROR(__xludf.DUMMYFUNCTION("GOOGLETRANSLATE(S106,""ja"",""en"")"),"Blue squid bukkake")</f>
        <v>Blue squid bukkake</v>
      </c>
      <c r="U106" s="6" t="str">
        <f ca="1">IFERROR(__xludf.DUMMYFUNCTION("GOOGLETRANSLATE(S106,""ja"",""ko"")"),"푸른 오징어 하늘 부카케")</f>
        <v>푸른 오징어 하늘 부카케</v>
      </c>
      <c r="V106" s="7" t="str">
        <f ca="1">IFERROR(__xludf.DUMMYFUNCTION("GOOGLETRANSLATE(S106,""ja"",""zh"")"),"蓝鱿鱼颜射")</f>
        <v>蓝鱿鱼颜射</v>
      </c>
      <c r="W106" s="3"/>
      <c r="X106" s="5"/>
      <c r="Y106" s="6"/>
      <c r="Z106" s="7"/>
      <c r="AA106" s="3"/>
      <c r="AB106" s="5"/>
      <c r="AC106" s="6"/>
      <c r="AD106" s="7"/>
      <c r="AE106" s="3"/>
      <c r="AF106" s="5"/>
      <c r="AG106" s="6"/>
      <c r="AH106" s="7"/>
      <c r="AI106" s="2"/>
      <c r="AJ106" s="2"/>
      <c r="AK106" s="2"/>
      <c r="AL106" s="2"/>
      <c r="AM106" s="3"/>
      <c r="AN106" s="5"/>
      <c r="AO106" s="6"/>
      <c r="AP106" s="7"/>
      <c r="AQ106" s="3"/>
      <c r="AR106" s="5"/>
      <c r="AS106" s="6"/>
      <c r="AT106" s="7"/>
      <c r="AU106" s="3"/>
      <c r="AV106" s="5"/>
      <c r="AW106" s="6"/>
      <c r="AX106" s="7"/>
      <c r="AY106" s="2"/>
      <c r="AZ106" s="2"/>
      <c r="BA106" s="2"/>
      <c r="BB106" s="2"/>
      <c r="BC106" s="3"/>
      <c r="BD106" s="5"/>
      <c r="BE106" s="6"/>
      <c r="BF106" s="7"/>
      <c r="BG106" s="3"/>
      <c r="BH106" s="5"/>
      <c r="BI106" s="6"/>
      <c r="BJ106" s="7"/>
      <c r="BK106" s="3"/>
      <c r="BL106" s="5"/>
      <c r="BM106" s="6"/>
      <c r="BN106" s="7"/>
      <c r="BO106" s="2"/>
      <c r="BP106" s="2"/>
      <c r="BQ106" s="2"/>
      <c r="BR106" s="2"/>
    </row>
    <row r="107" spans="2:70" ht="18.75" customHeight="1" x14ac:dyDescent="0.25">
      <c r="B107" s="8" t="s">
        <v>420</v>
      </c>
      <c r="C107" s="3" t="s">
        <v>421</v>
      </c>
      <c r="D107" s="3" t="s">
        <v>243</v>
      </c>
      <c r="E107" s="5" t="s">
        <v>263</v>
      </c>
      <c r="F107" s="5" t="s">
        <v>422</v>
      </c>
      <c r="G107" s="6" t="str">
        <f ca="1">IFERROR(__xludf.DUMMYFUNCTION("GOOGLETRANSLATE(B107,""ja"",""ko"")"),"극태 오쿠라 텐 부카케")</f>
        <v>극태 오쿠라 텐 부카케</v>
      </c>
      <c r="H107" s="6"/>
      <c r="I107" s="7" t="str">
        <f ca="1">IFERROR(__xludf.DUMMYFUNCTION("GOOGLETRANSLATE(B107,""ja"",""zh"")"),"特厚秋葵天妇罗颜射")</f>
        <v>特厚秋葵天妇罗颜射</v>
      </c>
      <c r="J107" s="7"/>
      <c r="K107" s="3" t="s">
        <v>421</v>
      </c>
      <c r="L107" s="3" t="s">
        <v>243</v>
      </c>
      <c r="M107" s="5" t="s">
        <v>263</v>
      </c>
      <c r="N107" s="5" t="s">
        <v>422</v>
      </c>
      <c r="O107" s="6" t="str">
        <f ca="1">IFERROR(__xludf.DUMMYFUNCTION("GOOGLETRANSLATE(B107,""ja"",""ko"")"),"극태 오쿠라 텐 부카케")</f>
        <v>극태 오쿠라 텐 부카케</v>
      </c>
      <c r="P107" s="6"/>
      <c r="Q107" s="7" t="str">
        <f ca="1">IFERROR(__xludf.DUMMYFUNCTION("GOOGLETRANSLATE(B107,""ja"",""zh"")"),"特厚秋葵天妇罗颜射")</f>
        <v>特厚秋葵天妇罗颜射</v>
      </c>
      <c r="R107" s="7"/>
      <c r="S107" s="3" t="s">
        <v>423</v>
      </c>
      <c r="T107" s="5" t="str">
        <f ca="1">IFERROR(__xludf.DUMMYFUNCTION("GOOGLETRANSLATE(S107,""ja"",""en"")"),"Fat Okuraten Bukka")</f>
        <v>Fat Okuraten Bukka</v>
      </c>
      <c r="U107" s="6" t="str">
        <f ca="1">IFERROR(__xludf.DUMMYFUNCTION("GOOGLETRANSLATE(S107,""ja"",""ko"")"),"굵은 오쿠라 텐 부카")</f>
        <v>굵은 오쿠라 텐 부카</v>
      </c>
      <c r="V107" s="7" t="str">
        <f ca="1">IFERROR(__xludf.DUMMYFUNCTION("GOOGLETRANSLATE(S107,""ja"",""zh"")"),"胖大仓天颜值")</f>
        <v>胖大仓天颜值</v>
      </c>
      <c r="W107" s="3"/>
      <c r="X107" s="5"/>
      <c r="Y107" s="6"/>
      <c r="Z107" s="7"/>
      <c r="AA107" s="3"/>
      <c r="AB107" s="5"/>
      <c r="AC107" s="6"/>
      <c r="AD107" s="7"/>
      <c r="AE107" s="3"/>
      <c r="AF107" s="5"/>
      <c r="AG107" s="6"/>
      <c r="AH107" s="7"/>
      <c r="AI107" s="2"/>
      <c r="AJ107" s="2"/>
      <c r="AK107" s="2"/>
      <c r="AL107" s="2"/>
      <c r="AM107" s="3"/>
      <c r="AN107" s="5"/>
      <c r="AO107" s="6"/>
      <c r="AP107" s="7"/>
      <c r="AQ107" s="3"/>
      <c r="AR107" s="5"/>
      <c r="AS107" s="6"/>
      <c r="AT107" s="7"/>
      <c r="AU107" s="3"/>
      <c r="AV107" s="5"/>
      <c r="AW107" s="6"/>
      <c r="AX107" s="7"/>
      <c r="AY107" s="2"/>
      <c r="AZ107" s="2"/>
      <c r="BA107" s="2"/>
      <c r="BB107" s="2"/>
      <c r="BC107" s="3"/>
      <c r="BD107" s="5"/>
      <c r="BE107" s="6"/>
      <c r="BF107" s="7"/>
      <c r="BG107" s="3"/>
      <c r="BH107" s="5"/>
      <c r="BI107" s="6"/>
      <c r="BJ107" s="7"/>
      <c r="BK107" s="3"/>
      <c r="BL107" s="5"/>
      <c r="BM107" s="6"/>
      <c r="BN107" s="7"/>
      <c r="BO107" s="2"/>
      <c r="BP107" s="2"/>
      <c r="BQ107" s="2"/>
      <c r="BR107" s="2"/>
    </row>
    <row r="108" spans="2:70" ht="18.75" customHeight="1" x14ac:dyDescent="0.25">
      <c r="B108" s="8" t="s">
        <v>424</v>
      </c>
      <c r="C108" s="3" t="s">
        <v>425</v>
      </c>
      <c r="D108" s="3" t="s">
        <v>243</v>
      </c>
      <c r="E108" s="5" t="s">
        <v>396</v>
      </c>
      <c r="F108" s="5" t="s">
        <v>422</v>
      </c>
      <c r="G108" s="6" t="str">
        <f ca="1">IFERROR(__xludf.DUMMYFUNCTION("GOOGLETRANSLATE(B108,""ja"",""ko"")"),"블루 노리 오쿠라 텐 부카케")</f>
        <v>블루 노리 오쿠라 텐 부카케</v>
      </c>
      <c r="H108" s="6"/>
      <c r="I108" s="7" t="str">
        <f ca="1">IFERROR(__xludf.DUMMYFUNCTION("GOOGLETRANSLATE(B108,""ja"",""zh"")"),"青海秋葵天妇罗颜射")</f>
        <v>青海秋葵天妇罗颜射</v>
      </c>
      <c r="J108" s="7"/>
      <c r="K108" s="3" t="s">
        <v>425</v>
      </c>
      <c r="L108" s="3" t="s">
        <v>243</v>
      </c>
      <c r="M108" s="5" t="s">
        <v>396</v>
      </c>
      <c r="N108" s="5" t="s">
        <v>422</v>
      </c>
      <c r="O108" s="6" t="str">
        <f ca="1">IFERROR(__xludf.DUMMYFUNCTION("GOOGLETRANSLATE(B108,""ja"",""ko"")"),"블루 노리 오쿠라 텐 부카케")</f>
        <v>블루 노리 오쿠라 텐 부카케</v>
      </c>
      <c r="P108" s="6"/>
      <c r="Q108" s="7" t="str">
        <f ca="1">IFERROR(__xludf.DUMMYFUNCTION("GOOGLETRANSLATE(B108,""ja"",""zh"")"),"青海秋葵天妇罗颜射")</f>
        <v>青海秋葵天妇罗颜射</v>
      </c>
      <c r="R108" s="7"/>
      <c r="S108" s="3" t="s">
        <v>426</v>
      </c>
      <c r="T108" s="5" t="str">
        <f ca="1">IFERROR(__xludf.DUMMYFUNCTION("GOOGLETRANSLATE(S108,""ja"",""en"")"),"Blue okra tempura bukkake")</f>
        <v>Blue okra tempura bukkake</v>
      </c>
      <c r="U108" s="6" t="str">
        <f ca="1">IFERROR(__xludf.DUMMYFUNCTION("GOOGLETRANSLATE(S108,""ja"",""ko"")"),"푸른 오쿠라 텐 부카케")</f>
        <v>푸른 오쿠라 텐 부카케</v>
      </c>
      <c r="V108" s="7" t="str">
        <f ca="1">IFERROR(__xludf.DUMMYFUNCTION("GOOGLETRANSLATE(S108,""ja"",""zh"")"),"蓝色秋葵天妇罗颜射")</f>
        <v>蓝色秋葵天妇罗颜射</v>
      </c>
      <c r="W108" s="3"/>
      <c r="X108" s="5"/>
      <c r="Y108" s="6"/>
      <c r="Z108" s="7"/>
      <c r="AA108" s="3"/>
      <c r="AB108" s="5"/>
      <c r="AC108" s="6"/>
      <c r="AD108" s="7"/>
      <c r="AE108" s="3"/>
      <c r="AF108" s="5"/>
      <c r="AG108" s="6"/>
      <c r="AH108" s="7"/>
      <c r="AI108" s="2"/>
      <c r="AJ108" s="2"/>
      <c r="AK108" s="2"/>
      <c r="AL108" s="2"/>
      <c r="AM108" s="3"/>
      <c r="AN108" s="5"/>
      <c r="AO108" s="6"/>
      <c r="AP108" s="7"/>
      <c r="AQ108" s="3"/>
      <c r="AR108" s="5"/>
      <c r="AS108" s="6"/>
      <c r="AT108" s="7"/>
      <c r="AU108" s="3"/>
      <c r="AV108" s="5"/>
      <c r="AW108" s="6"/>
      <c r="AX108" s="7"/>
      <c r="AY108" s="2"/>
      <c r="AZ108" s="2"/>
      <c r="BA108" s="2"/>
      <c r="BB108" s="2"/>
      <c r="BC108" s="3"/>
      <c r="BD108" s="5"/>
      <c r="BE108" s="6"/>
      <c r="BF108" s="7"/>
      <c r="BG108" s="3"/>
      <c r="BH108" s="5"/>
      <c r="BI108" s="6"/>
      <c r="BJ108" s="7"/>
      <c r="BK108" s="3"/>
      <c r="BL108" s="5"/>
      <c r="BM108" s="6"/>
      <c r="BN108" s="7"/>
      <c r="BO108" s="2"/>
      <c r="BP108" s="2"/>
      <c r="BQ108" s="2"/>
      <c r="BR108" s="2"/>
    </row>
    <row r="109" spans="2:70" ht="18.75" customHeight="1" x14ac:dyDescent="0.25">
      <c r="B109" s="8" t="s">
        <v>427</v>
      </c>
      <c r="C109" s="3" t="s">
        <v>427</v>
      </c>
      <c r="D109" s="3"/>
      <c r="E109" s="5" t="s">
        <v>415</v>
      </c>
      <c r="F109" s="5"/>
      <c r="G109" s="6" t="str">
        <f ca="1">IFERROR(__xludf.DUMMYFUNCTION("GOOGLETRANSLATE(B109,""ja"",""ko"")"),"오징어 하늘")</f>
        <v>오징어 하늘</v>
      </c>
      <c r="H109" s="6"/>
      <c r="I109" s="7" t="str">
        <f ca="1">IFERROR(__xludf.DUMMYFUNCTION("GOOGLETRANSLATE(B109,""ja"",""zh"")"),"鱿鱼天堂")</f>
        <v>鱿鱼天堂</v>
      </c>
      <c r="J109" s="7"/>
      <c r="K109" s="3" t="s">
        <v>427</v>
      </c>
      <c r="L109" s="3"/>
      <c r="M109" s="5" t="s">
        <v>415</v>
      </c>
      <c r="N109" s="5"/>
      <c r="O109" s="6" t="str">
        <f ca="1">IFERROR(__xludf.DUMMYFUNCTION("GOOGLETRANSLATE(B109,""ja"",""ko"")"),"오징어 하늘")</f>
        <v>오징어 하늘</v>
      </c>
      <c r="P109" s="6"/>
      <c r="Q109" s="7" t="str">
        <f ca="1">IFERROR(__xludf.DUMMYFUNCTION("GOOGLETRANSLATE(B109,""ja"",""zh"")"),"鱿鱼天堂")</f>
        <v>鱿鱼天堂</v>
      </c>
      <c r="R109" s="7"/>
      <c r="S109" s="3" t="s">
        <v>428</v>
      </c>
      <c r="T109" s="5" t="str">
        <f ca="1">IFERROR(__xludf.DUMMYFUNCTION("GOOGLETRANSLATE(S109,""ja"",""en"")"),"Single item Squid tempura")</f>
        <v>Single item Squid tempura</v>
      </c>
      <c r="U109" s="6" t="str">
        <f ca="1">IFERROR(__xludf.DUMMYFUNCTION("GOOGLETRANSLATE(S109,""ja"",""ko"")"),"단품 오징어 하늘")</f>
        <v>단품 오징어 하늘</v>
      </c>
      <c r="V109" s="7" t="str">
        <f ca="1">IFERROR(__xludf.DUMMYFUNCTION("GOOGLETRANSLATE(S109,""ja"",""zh"")"),"单品鱿鱼天妇罗")</f>
        <v>单品鱿鱼天妇罗</v>
      </c>
      <c r="W109" s="3"/>
      <c r="X109" s="5"/>
      <c r="Y109" s="6"/>
      <c r="Z109" s="7"/>
      <c r="AA109" s="3"/>
      <c r="AB109" s="5"/>
      <c r="AC109" s="6"/>
      <c r="AD109" s="7"/>
      <c r="AE109" s="3"/>
      <c r="AF109" s="5"/>
      <c r="AG109" s="6"/>
      <c r="AH109" s="7"/>
      <c r="AI109" s="2"/>
      <c r="AJ109" s="2"/>
      <c r="AK109" s="2"/>
      <c r="AL109" s="2"/>
      <c r="AM109" s="3"/>
      <c r="AN109" s="5"/>
      <c r="AO109" s="6"/>
      <c r="AP109" s="7"/>
      <c r="AQ109" s="3"/>
      <c r="AR109" s="5"/>
      <c r="AS109" s="6"/>
      <c r="AT109" s="7"/>
      <c r="AU109" s="3"/>
      <c r="AV109" s="5"/>
      <c r="AW109" s="6"/>
      <c r="AX109" s="7"/>
      <c r="AY109" s="2"/>
      <c r="AZ109" s="2"/>
      <c r="BA109" s="2"/>
      <c r="BB109" s="2"/>
      <c r="BC109" s="3"/>
      <c r="BD109" s="5"/>
      <c r="BE109" s="6"/>
      <c r="BF109" s="7"/>
      <c r="BG109" s="3"/>
      <c r="BH109" s="5"/>
      <c r="BI109" s="6"/>
      <c r="BJ109" s="7"/>
      <c r="BK109" s="3"/>
      <c r="BL109" s="5"/>
      <c r="BM109" s="6"/>
      <c r="BN109" s="7"/>
      <c r="BO109" s="2"/>
      <c r="BP109" s="2"/>
      <c r="BQ109" s="2"/>
      <c r="BR109" s="2"/>
    </row>
    <row r="110" spans="2:70" ht="18.75" customHeight="1" x14ac:dyDescent="0.25">
      <c r="B110" s="8" t="s">
        <v>429</v>
      </c>
      <c r="C110" s="3" t="s">
        <v>429</v>
      </c>
      <c r="D110" s="3"/>
      <c r="E110" s="5" t="s">
        <v>263</v>
      </c>
      <c r="F110" s="5" t="s">
        <v>206</v>
      </c>
      <c r="G110" s="6" t="str">
        <f ca="1">IFERROR(__xludf.DUMMYFUNCTION("GOOGLETRANSLATE(B110,""ja"",""ko"")"),"극단 치쿠와 텐 카케")</f>
        <v>극단 치쿠와 텐 카케</v>
      </c>
      <c r="H110" s="6"/>
      <c r="I110" s="7" t="str">
        <f ca="1">IFERROR(__xludf.DUMMYFUNCTION("GOOGLETRANSLATE(B110,""ja"",""zh"")"),"特厚竹轮天妇罗")</f>
        <v>特厚竹轮天妇罗</v>
      </c>
      <c r="J110" s="7"/>
      <c r="K110" s="3" t="s">
        <v>430</v>
      </c>
      <c r="L110" s="3"/>
      <c r="M110" s="5" t="s">
        <v>263</v>
      </c>
      <c r="N110" s="5" t="s">
        <v>206</v>
      </c>
      <c r="O110" s="6" t="str">
        <f ca="1">IFERROR(__xludf.DUMMYFUNCTION("GOOGLETRANSLATE(B110,""ja"",""ko"")"),"극단 치쿠와 텐 카케")</f>
        <v>극단 치쿠와 텐 카케</v>
      </c>
      <c r="P110" s="6"/>
      <c r="Q110" s="7" t="str">
        <f ca="1">IFERROR(__xludf.DUMMYFUNCTION("GOOGLETRANSLATE(B110,""ja"",""zh"")"),"特厚竹轮天妇罗")</f>
        <v>特厚竹轮天妇罗</v>
      </c>
      <c r="R110" s="7"/>
      <c r="S110" s="3" t="s">
        <v>430</v>
      </c>
      <c r="T110" s="5" t="str">
        <f ca="1">IFERROR(__xludf.DUMMYFUNCTION("GOOGLETRANSLATE(S110,""ja"",""en"")"),"Thick chikuwa tempura")</f>
        <v>Thick chikuwa tempura</v>
      </c>
      <c r="U110" s="6" t="str">
        <f ca="1">IFERROR(__xludf.DUMMYFUNCTION("GOOGLETRANSLATE(S110,""ja"",""ko"")"),"타이 치쿠와 텐 카케")</f>
        <v>타이 치쿠와 텐 카케</v>
      </c>
      <c r="V110" s="7" t="str">
        <f ca="1">IFERROR(__xludf.DUMMYFUNCTION("GOOGLETRANSLATE(S110,""ja"",""zh"")"),"厚厚的竹轮天妇罗")</f>
        <v>厚厚的竹轮天妇罗</v>
      </c>
      <c r="W110" s="3"/>
      <c r="X110" s="5"/>
      <c r="Y110" s="6"/>
      <c r="Z110" s="7"/>
      <c r="AA110" s="3"/>
      <c r="AB110" s="5"/>
      <c r="AC110" s="6"/>
      <c r="AD110" s="7"/>
      <c r="AE110" s="3"/>
      <c r="AF110" s="5"/>
      <c r="AG110" s="6"/>
      <c r="AH110" s="7"/>
      <c r="AI110" s="2"/>
      <c r="AJ110" s="2"/>
      <c r="AK110" s="2"/>
      <c r="AL110" s="2"/>
      <c r="AM110" s="3"/>
      <c r="AN110" s="5"/>
      <c r="AO110" s="6"/>
      <c r="AP110" s="7"/>
      <c r="AQ110" s="3"/>
      <c r="AR110" s="5"/>
      <c r="AS110" s="6"/>
      <c r="AT110" s="7"/>
      <c r="AU110" s="3"/>
      <c r="AV110" s="5"/>
      <c r="AW110" s="6"/>
      <c r="AX110" s="7"/>
      <c r="AY110" s="2"/>
      <c r="AZ110" s="2"/>
      <c r="BA110" s="2"/>
      <c r="BB110" s="2"/>
      <c r="BC110" s="3"/>
      <c r="BD110" s="5"/>
      <c r="BE110" s="6"/>
      <c r="BF110" s="7"/>
      <c r="BG110" s="3"/>
      <c r="BH110" s="5"/>
      <c r="BI110" s="6"/>
      <c r="BJ110" s="7"/>
      <c r="BK110" s="3"/>
      <c r="BL110" s="5"/>
      <c r="BM110" s="6"/>
      <c r="BN110" s="7"/>
      <c r="BO110" s="2"/>
      <c r="BP110" s="2"/>
      <c r="BQ110" s="2"/>
      <c r="BR110" s="2"/>
    </row>
    <row r="111" spans="2:70" ht="18.75" customHeight="1" x14ac:dyDescent="0.25">
      <c r="B111" s="8" t="s">
        <v>431</v>
      </c>
      <c r="C111" s="3" t="s">
        <v>432</v>
      </c>
      <c r="D111" s="3" t="s">
        <v>125</v>
      </c>
      <c r="E111" s="5" t="s">
        <v>396</v>
      </c>
      <c r="F111" s="5" t="s">
        <v>206</v>
      </c>
      <c r="G111" s="6" t="str">
        <f ca="1">IFERROR(__xludf.DUMMYFUNCTION("GOOGLETRANSLATE(B111,""ja"",""ko"")"),"블루 노리 치쿠와 텐 카케")</f>
        <v>블루 노리 치쿠와 텐 카케</v>
      </c>
      <c r="H111" s="6"/>
      <c r="I111" s="7" t="str">
        <f ca="1">IFERROR(__xludf.DUMMYFUNCTION("GOOGLETRANSLATE(B111,""ja"",""zh"")"),"绿海藻竹轮天妇罗")</f>
        <v>绿海藻竹轮天妇罗</v>
      </c>
      <c r="J111" s="7"/>
      <c r="K111" s="3" t="s">
        <v>432</v>
      </c>
      <c r="L111" s="3" t="s">
        <v>125</v>
      </c>
      <c r="M111" s="5" t="s">
        <v>396</v>
      </c>
      <c r="N111" s="5" t="s">
        <v>206</v>
      </c>
      <c r="O111" s="6" t="str">
        <f ca="1">IFERROR(__xludf.DUMMYFUNCTION("GOOGLETRANSLATE(B111,""ja"",""ko"")"),"블루 노리 치쿠와 텐 카케")</f>
        <v>블루 노리 치쿠와 텐 카케</v>
      </c>
      <c r="P111" s="6"/>
      <c r="Q111" s="7" t="str">
        <f ca="1">IFERROR(__xludf.DUMMYFUNCTION("GOOGLETRANSLATE(B111,""ja"",""zh"")"),"绿海藻竹轮天妇罗")</f>
        <v>绿海藻竹轮天妇罗</v>
      </c>
      <c r="R111" s="7"/>
      <c r="S111" s="3" t="s">
        <v>433</v>
      </c>
      <c r="T111" s="5" t="str">
        <f ca="1">IFERROR(__xludf.DUMMYFUNCTION("GOOGLETRANSLATE(S111,""ja"",""en"")"),"Blue Chikuwa Kake")</f>
        <v>Blue Chikuwa Kake</v>
      </c>
      <c r="U111" s="6" t="str">
        <f ca="1">IFERROR(__xludf.DUMMYFUNCTION("GOOGLETRANSLATE(S111,""ja"",""ko"")"),"파랑 치쿠와")</f>
        <v>파랑 치쿠와</v>
      </c>
      <c r="V111" s="7" t="str">
        <f ca="1">IFERROR(__xludf.DUMMYFUNCTION("GOOGLETRANSLATE(S111,""ja"",""zh"")"),"蓝色竹轮挂")</f>
        <v>蓝色竹轮挂</v>
      </c>
      <c r="W111" s="3"/>
      <c r="X111" s="5"/>
      <c r="Y111" s="6"/>
      <c r="Z111" s="7"/>
      <c r="AA111" s="3"/>
      <c r="AB111" s="5"/>
      <c r="AC111" s="6"/>
      <c r="AD111" s="7"/>
      <c r="AE111" s="3"/>
      <c r="AF111" s="5"/>
      <c r="AG111" s="6"/>
      <c r="AH111" s="7"/>
      <c r="AI111" s="2"/>
      <c r="AJ111" s="2"/>
      <c r="AK111" s="2"/>
      <c r="AL111" s="2"/>
      <c r="AM111" s="3"/>
      <c r="AN111" s="5"/>
      <c r="AO111" s="6"/>
      <c r="AP111" s="7"/>
      <c r="AQ111" s="3"/>
      <c r="AR111" s="5"/>
      <c r="AS111" s="6"/>
      <c r="AT111" s="7"/>
      <c r="AU111" s="3"/>
      <c r="AV111" s="5"/>
      <c r="AW111" s="6"/>
      <c r="AX111" s="7"/>
      <c r="AY111" s="2"/>
      <c r="AZ111" s="2"/>
      <c r="BA111" s="2"/>
      <c r="BB111" s="2"/>
      <c r="BC111" s="3"/>
      <c r="BD111" s="5"/>
      <c r="BE111" s="6"/>
      <c r="BF111" s="7"/>
      <c r="BG111" s="3"/>
      <c r="BH111" s="5"/>
      <c r="BI111" s="6"/>
      <c r="BJ111" s="7"/>
      <c r="BK111" s="3"/>
      <c r="BL111" s="5"/>
      <c r="BM111" s="6"/>
      <c r="BN111" s="7"/>
      <c r="BO111" s="2"/>
      <c r="BP111" s="2"/>
      <c r="BQ111" s="2"/>
      <c r="BR111" s="2"/>
    </row>
    <row r="112" spans="2:70" ht="18.75" customHeight="1" x14ac:dyDescent="0.25">
      <c r="B112" s="8" t="s">
        <v>434</v>
      </c>
      <c r="C112" s="3" t="s">
        <v>434</v>
      </c>
      <c r="D112" s="3"/>
      <c r="E112" s="5" t="s">
        <v>435</v>
      </c>
      <c r="F112" s="5" t="s">
        <v>436</v>
      </c>
      <c r="G112" s="6" t="str">
        <f ca="1">IFERROR(__xludf.DUMMYFUNCTION("GOOGLETRANSLATE(B112,""ja"",""ko"")"),"미니 토리텐구")</f>
        <v>미니 토리텐구</v>
      </c>
      <c r="H112" s="6"/>
      <c r="I112" s="7" t="str">
        <f ca="1">IFERROR(__xludf.DUMMYFUNCTION("GOOGLETRANSLATE(B112,""ja"",""zh"")"),"迷你鸡肉天妇罗碗")</f>
        <v>迷你鸡肉天妇罗碗</v>
      </c>
      <c r="J112" s="7"/>
      <c r="K112" s="3" t="s">
        <v>434</v>
      </c>
      <c r="L112" s="3"/>
      <c r="M112" s="5" t="s">
        <v>435</v>
      </c>
      <c r="N112" s="5" t="s">
        <v>436</v>
      </c>
      <c r="O112" s="6" t="str">
        <f ca="1">IFERROR(__xludf.DUMMYFUNCTION("GOOGLETRANSLATE(B112,""ja"",""ko"")"),"미니 토리텐구")</f>
        <v>미니 토리텐구</v>
      </c>
      <c r="P112" s="6"/>
      <c r="Q112" s="7" t="str">
        <f ca="1">IFERROR(__xludf.DUMMYFUNCTION("GOOGLETRANSLATE(B112,""ja"",""zh"")"),"迷你鸡肉天妇罗碗")</f>
        <v>迷你鸡肉天妇罗碗</v>
      </c>
      <c r="R112" s="7"/>
      <c r="S112" s="3" t="s">
        <v>434</v>
      </c>
      <c r="T112" s="5" t="str">
        <f ca="1">IFERROR(__xludf.DUMMYFUNCTION("GOOGLETRANSLATE(S112,""ja"",""en"")"),"Mini chicken tempura bowl")</f>
        <v>Mini chicken tempura bowl</v>
      </c>
      <c r="U112" s="6" t="str">
        <f ca="1">IFERROR(__xludf.DUMMYFUNCTION("GOOGLETRANSLATE(S112,""ja"",""ko"")"),"미니 토리텐구")</f>
        <v>미니 토리텐구</v>
      </c>
      <c r="V112" s="7" t="str">
        <f ca="1">IFERROR(__xludf.DUMMYFUNCTION("GOOGLETRANSLATE(S112,""ja"",""zh"")"),"迷你鸡肉天妇罗碗")</f>
        <v>迷你鸡肉天妇罗碗</v>
      </c>
      <c r="W112" s="3" t="s">
        <v>437</v>
      </c>
      <c r="X112" s="5" t="str">
        <f ca="1">IFERROR(__xludf.DUMMYFUNCTION("GOOGLETRANSLATE(W112,""ja"",""en"")"),"Sauce")</f>
        <v>Sauce</v>
      </c>
      <c r="Y112" s="6" t="str">
        <f ca="1">IFERROR(__xludf.DUMMYFUNCTION("GOOGLETRANSLATE(W112,""ja"",""ko"")"),"양념")</f>
        <v>양념</v>
      </c>
      <c r="Z112" s="7" t="str">
        <f ca="1">IFERROR(__xludf.DUMMYFUNCTION("GOOGLETRANSLATE(W112,""ja"",""zh"")"),"酱")</f>
        <v>酱</v>
      </c>
      <c r="AA112" s="3" t="s">
        <v>438</v>
      </c>
      <c r="AB112" s="5" t="str">
        <f ca="1">IFERROR(__xludf.DUMMYFUNCTION("GOOGLETRANSLATE(AA112,""ja"",""en"")"),"salt sauce")</f>
        <v>salt sauce</v>
      </c>
      <c r="AC112" s="6" t="str">
        <f ca="1">IFERROR(__xludf.DUMMYFUNCTION("GOOGLETRANSLATE(AA112,""ja"",""ko"")"),"소금 누구")</f>
        <v>소금 누구</v>
      </c>
      <c r="AD112" s="7" t="str">
        <f ca="1">IFERROR(__xludf.DUMMYFUNCTION("GOOGLETRANSLATE(AA112,""ja"",""zh"")"),"盐酱")</f>
        <v>盐酱</v>
      </c>
      <c r="AE112" s="3" t="s">
        <v>439</v>
      </c>
      <c r="AF112" s="5" t="str">
        <f ca="1">IFERROR(__xludf.DUMMYFUNCTION("GOOGLETRANSLATE(AE112,""ja"",""en"")"),"soy sauce sauce")</f>
        <v>soy sauce sauce</v>
      </c>
      <c r="AG112" s="6" t="str">
        <f ca="1">IFERROR(__xludf.DUMMYFUNCTION("GOOGLETRANSLATE(AE112,""ja"",""ko"")"),"간장")</f>
        <v>간장</v>
      </c>
      <c r="AH112" s="7" t="str">
        <f ca="1">IFERROR(__xludf.DUMMYFUNCTION("GOOGLETRANSLATE(AE112,""ja"",""zh"")"),"酱油 酱油")</f>
        <v>酱油 酱油</v>
      </c>
      <c r="AI112" s="2"/>
      <c r="AJ112" s="2"/>
      <c r="AK112" s="2"/>
      <c r="AL112" s="2"/>
      <c r="AM112" s="3"/>
      <c r="AN112" s="5"/>
      <c r="AO112" s="6"/>
      <c r="AP112" s="7"/>
      <c r="AQ112" s="3"/>
      <c r="AR112" s="5"/>
      <c r="AS112" s="6"/>
      <c r="AT112" s="7"/>
      <c r="AU112" s="3"/>
      <c r="AV112" s="5"/>
      <c r="AW112" s="6"/>
      <c r="AX112" s="7"/>
      <c r="AY112" s="2"/>
      <c r="AZ112" s="2"/>
      <c r="BA112" s="2"/>
      <c r="BB112" s="2"/>
      <c r="BC112" s="3"/>
      <c r="BD112" s="5"/>
      <c r="BE112" s="6"/>
      <c r="BF112" s="7"/>
      <c r="BG112" s="3"/>
      <c r="BH112" s="5"/>
      <c r="BI112" s="6"/>
      <c r="BJ112" s="7"/>
      <c r="BK112" s="3"/>
      <c r="BL112" s="5"/>
      <c r="BM112" s="6"/>
      <c r="BN112" s="7"/>
      <c r="BO112" s="2"/>
      <c r="BP112" s="2"/>
      <c r="BQ112" s="2"/>
      <c r="BR112" s="2"/>
    </row>
    <row r="113" spans="2:70" ht="18.75" customHeight="1" x14ac:dyDescent="0.25">
      <c r="B113" s="8" t="s">
        <v>440</v>
      </c>
      <c r="C113" s="3" t="s">
        <v>441</v>
      </c>
      <c r="D113" s="3"/>
      <c r="E113" s="5" t="s">
        <v>442</v>
      </c>
      <c r="F113" s="5"/>
      <c r="G113" s="6" t="str">
        <f ca="1">IFERROR(__xludf.DUMMYFUNCTION("GOOGLETRANSLATE(B113,""ja"",""ko"")"),"가죽 감자 튀김")</f>
        <v>가죽 감자 튀김</v>
      </c>
      <c r="H113" s="6"/>
      <c r="I113" s="7" t="str">
        <f ca="1">IFERROR(__xludf.DUMMYFUNCTION("GOOGLETRANSLATE(B113,""ja"",""zh"")"),"带皮薯条")</f>
        <v>带皮薯条</v>
      </c>
      <c r="J113" s="7"/>
      <c r="K113" s="3" t="s">
        <v>441</v>
      </c>
      <c r="L113" s="3"/>
      <c r="M113" s="5" t="s">
        <v>442</v>
      </c>
      <c r="N113" s="5"/>
      <c r="O113" s="6" t="str">
        <f ca="1">IFERROR(__xludf.DUMMYFUNCTION("GOOGLETRANSLATE(B113,""ja"",""ko"")"),"가죽 감자 튀김")</f>
        <v>가죽 감자 튀김</v>
      </c>
      <c r="P113" s="6"/>
      <c r="Q113" s="7" t="str">
        <f ca="1">IFERROR(__xludf.DUMMYFUNCTION("GOOGLETRANSLATE(B113,""ja"",""zh"")"),"带皮薯条")</f>
        <v>带皮薯条</v>
      </c>
      <c r="R113" s="7"/>
      <c r="S113" s="3" t="s">
        <v>441</v>
      </c>
      <c r="T113" s="5" t="str">
        <f ca="1">IFERROR(__xludf.DUMMYFUNCTION("GOOGLETRANSLATE(S113,""ja"",""en"")"),"French fries with skin")</f>
        <v>French fries with skin</v>
      </c>
      <c r="U113" s="6" t="str">
        <f ca="1">IFERROR(__xludf.DUMMYFUNCTION("GOOGLETRANSLATE(S113,""ja"",""ko"")"),"가죽 감자 튀김")</f>
        <v>가죽 감자 튀김</v>
      </c>
      <c r="V113" s="7" t="str">
        <f ca="1">IFERROR(__xludf.DUMMYFUNCTION("GOOGLETRANSLATE(S113,""ja"",""zh"")"),"带皮薯条")</f>
        <v>带皮薯条</v>
      </c>
      <c r="W113" s="3"/>
      <c r="X113" s="5"/>
      <c r="Y113" s="6"/>
      <c r="Z113" s="7"/>
      <c r="AA113" s="3"/>
      <c r="AB113" s="5"/>
      <c r="AC113" s="6"/>
      <c r="AD113" s="7"/>
      <c r="AE113" s="3"/>
      <c r="AF113" s="5"/>
      <c r="AG113" s="6"/>
      <c r="AH113" s="7"/>
      <c r="AI113" s="2"/>
      <c r="AJ113" s="2"/>
      <c r="AK113" s="2"/>
      <c r="AL113" s="2"/>
      <c r="AM113" s="3"/>
      <c r="AN113" s="5"/>
      <c r="AO113" s="6"/>
      <c r="AP113" s="7"/>
      <c r="AQ113" s="3"/>
      <c r="AR113" s="5"/>
      <c r="AS113" s="6"/>
      <c r="AT113" s="7"/>
      <c r="AU113" s="3"/>
      <c r="AV113" s="5"/>
      <c r="AW113" s="6"/>
      <c r="AX113" s="7"/>
      <c r="AY113" s="2"/>
      <c r="AZ113" s="2"/>
      <c r="BA113" s="2"/>
      <c r="BB113" s="2"/>
      <c r="BC113" s="3"/>
      <c r="BD113" s="5"/>
      <c r="BE113" s="6"/>
      <c r="BF113" s="7"/>
      <c r="BG113" s="3"/>
      <c r="BH113" s="5"/>
      <c r="BI113" s="6"/>
      <c r="BJ113" s="7"/>
      <c r="BK113" s="3"/>
      <c r="BL113" s="5"/>
      <c r="BM113" s="6"/>
      <c r="BN113" s="7"/>
      <c r="BO113" s="2"/>
      <c r="BP113" s="2"/>
      <c r="BQ113" s="2"/>
      <c r="BR113" s="2"/>
    </row>
    <row r="114" spans="2:70" ht="18.75" customHeight="1" x14ac:dyDescent="0.25">
      <c r="B114" s="8" t="s">
        <v>443</v>
      </c>
      <c r="C114" s="3" t="s">
        <v>444</v>
      </c>
      <c r="D114" s="3" t="s">
        <v>445</v>
      </c>
      <c r="E114" s="5" t="s">
        <v>298</v>
      </c>
      <c r="F114" s="5" t="s">
        <v>446</v>
      </c>
      <c r="G114" s="6" t="str">
        <f ca="1">IFERROR(__xludf.DUMMYFUNCTION("GOOGLETRANSLATE(B114,""ja"",""ko"")"),"숯불 카오루 야키토리동동 엄선생 달걀 첨부")</f>
        <v>숯불 카오루 야키토리동동 엄선생 달걀 첨부</v>
      </c>
      <c r="H114" s="6"/>
      <c r="I114" s="7" t="str">
        <f ca="1">IFERROR(__xludf.DUMMYFUNCTION("GOOGLETRANSLATE(B114,""ja"",""zh"")"),"炭香烤鸡肉串配上严选的生鸡蛋")</f>
        <v>炭香烤鸡肉串配上严选的生鸡蛋</v>
      </c>
      <c r="J114" s="7"/>
      <c r="K114" s="3" t="s">
        <v>444</v>
      </c>
      <c r="L114" s="3" t="s">
        <v>445</v>
      </c>
      <c r="M114" s="5" t="s">
        <v>298</v>
      </c>
      <c r="N114" s="5" t="s">
        <v>446</v>
      </c>
      <c r="O114" s="6" t="str">
        <f ca="1">IFERROR(__xludf.DUMMYFUNCTION("GOOGLETRANSLATE(B114,""ja"",""ko"")"),"숯불 카오루 야키토리동동 엄선생 달걀 첨부")</f>
        <v>숯불 카오루 야키토리동동 엄선생 달걀 첨부</v>
      </c>
      <c r="P114" s="6"/>
      <c r="Q114" s="7" t="str">
        <f ca="1">IFERROR(__xludf.DUMMYFUNCTION("GOOGLETRANSLATE(B114,""ja"",""zh"")"),"炭香烤鸡肉串配上严选的生鸡蛋")</f>
        <v>炭香烤鸡肉串配上严选的生鸡蛋</v>
      </c>
      <c r="R114" s="7"/>
      <c r="S114" s="3" t="s">
        <v>447</v>
      </c>
      <c r="T114" s="5" t="str">
        <f ca="1">IFERROR(__xludf.DUMMYFUNCTION("GOOGLETRANSLATE(S114,""ja"",""en"")"),"Yakitori bowl raw egg")</f>
        <v>Yakitori bowl raw egg</v>
      </c>
      <c r="U114" s="6" t="str">
        <f ca="1">IFERROR(__xludf.DUMMYFUNCTION("GOOGLETRANSLATE(S114,""ja"",""ko"")"),"야키토리 덮밥 생 달걀")</f>
        <v>야키토리 덮밥 생 달걀</v>
      </c>
      <c r="V114" s="7" t="str">
        <f ca="1">IFERROR(__xludf.DUMMYFUNCTION("GOOGLETRANSLATE(S114,""ja"",""zh"")"),"烤鸡肉串碗生鸡蛋")</f>
        <v>烤鸡肉串碗生鸡蛋</v>
      </c>
      <c r="W114" s="3"/>
      <c r="X114" s="5"/>
      <c r="Y114" s="6"/>
      <c r="Z114" s="7"/>
      <c r="AA114" s="3"/>
      <c r="AB114" s="5"/>
      <c r="AC114" s="6"/>
      <c r="AD114" s="7"/>
      <c r="AE114" s="3"/>
      <c r="AF114" s="5"/>
      <c r="AG114" s="6"/>
      <c r="AH114" s="7"/>
      <c r="AI114" s="2"/>
      <c r="AJ114" s="2"/>
      <c r="AK114" s="2"/>
      <c r="AL114" s="2"/>
      <c r="AM114" s="3"/>
      <c r="AN114" s="5"/>
      <c r="AO114" s="6"/>
      <c r="AP114" s="7"/>
      <c r="AQ114" s="3"/>
      <c r="AR114" s="5"/>
      <c r="AS114" s="6"/>
      <c r="AT114" s="7"/>
      <c r="AU114" s="3"/>
      <c r="AV114" s="5"/>
      <c r="AW114" s="6"/>
      <c r="AX114" s="7"/>
      <c r="AY114" s="2"/>
      <c r="AZ114" s="2"/>
      <c r="BA114" s="2"/>
      <c r="BB114" s="2"/>
      <c r="BC114" s="3"/>
      <c r="BD114" s="5"/>
      <c r="BE114" s="6"/>
      <c r="BF114" s="7"/>
      <c r="BG114" s="3"/>
      <c r="BH114" s="5"/>
      <c r="BI114" s="6"/>
      <c r="BJ114" s="7"/>
      <c r="BK114" s="3"/>
      <c r="BL114" s="5"/>
      <c r="BM114" s="6"/>
      <c r="BN114" s="7"/>
      <c r="BO114" s="2"/>
      <c r="BP114" s="2"/>
      <c r="BQ114" s="2"/>
      <c r="BR114" s="2"/>
    </row>
    <row r="115" spans="2:70" ht="18.75" customHeight="1" x14ac:dyDescent="0.25">
      <c r="B115" s="8" t="s">
        <v>448</v>
      </c>
      <c r="C115" s="3" t="s">
        <v>449</v>
      </c>
      <c r="D115" s="3" t="s">
        <v>450</v>
      </c>
      <c r="E115" s="5" t="s">
        <v>451</v>
      </c>
      <c r="F115" s="5" t="s">
        <v>452</v>
      </c>
      <c r="G115" s="6" t="str">
        <f ca="1">IFERROR(__xludf.DUMMYFUNCTION("GOOGLETRANSLATE(B115,""ja"",""ko"")"),"숯불 카오루 야키토리 덮밥 온천 달걀 포함")</f>
        <v>숯불 카오루 야키토리 덮밥 온천 달걀 포함</v>
      </c>
      <c r="H115" s="6"/>
      <c r="I115" s="7" t="str">
        <f ca="1">IFERROR(__xludf.DUMMYFUNCTION("GOOGLETRANSLATE(B115,""ja"",""zh"")"),"炭香串烧温泉蛋")</f>
        <v>炭香串烧温泉蛋</v>
      </c>
      <c r="J115" s="7"/>
      <c r="K115" s="3" t="s">
        <v>449</v>
      </c>
      <c r="L115" s="3" t="s">
        <v>450</v>
      </c>
      <c r="M115" s="5" t="s">
        <v>451</v>
      </c>
      <c r="N115" s="5" t="s">
        <v>452</v>
      </c>
      <c r="O115" s="6" t="str">
        <f ca="1">IFERROR(__xludf.DUMMYFUNCTION("GOOGLETRANSLATE(B115,""ja"",""ko"")"),"숯불 카오루 야키토리 덮밥 온천 달걀 포함")</f>
        <v>숯불 카오루 야키토리 덮밥 온천 달걀 포함</v>
      </c>
      <c r="P115" s="6"/>
      <c r="Q115" s="7" t="str">
        <f ca="1">IFERROR(__xludf.DUMMYFUNCTION("GOOGLETRANSLATE(B115,""ja"",""zh"")"),"炭香串烧温泉蛋")</f>
        <v>炭香串烧温泉蛋</v>
      </c>
      <c r="R115" s="7"/>
      <c r="S115" s="3" t="s">
        <v>453</v>
      </c>
      <c r="T115" s="5" t="str">
        <f ca="1">IFERROR(__xludf.DUMMYFUNCTION("GOOGLETRANSLATE(S115,""ja"",""en"")"),"Yakitori bowl with hot egg")</f>
        <v>Yakitori bowl with hot egg</v>
      </c>
      <c r="U115" s="6" t="str">
        <f ca="1">IFERROR(__xludf.DUMMYFUNCTION("GOOGLETRANSLATE(S115,""ja"",""ko"")"),"야키토리동동 온옥")</f>
        <v>야키토리동동 온옥</v>
      </c>
      <c r="V115" s="7" t="str">
        <f ca="1">IFERROR(__xludf.DUMMYFUNCTION("GOOGLETRANSLATE(S115,""ja"",""zh"")"),"烤鸡肉串热鸡蛋")</f>
        <v>烤鸡肉串热鸡蛋</v>
      </c>
      <c r="W115" s="3"/>
      <c r="X115" s="5"/>
      <c r="Y115" s="6"/>
      <c r="Z115" s="7"/>
      <c r="AA115" s="3"/>
      <c r="AB115" s="5"/>
      <c r="AC115" s="6"/>
      <c r="AD115" s="7"/>
      <c r="AE115" s="3"/>
      <c r="AF115" s="5"/>
      <c r="AG115" s="6"/>
      <c r="AH115" s="7"/>
      <c r="AI115" s="2"/>
      <c r="AJ115" s="2"/>
      <c r="AK115" s="2"/>
      <c r="AL115" s="2"/>
      <c r="AM115" s="3"/>
      <c r="AN115" s="5"/>
      <c r="AO115" s="6"/>
      <c r="AP115" s="7"/>
      <c r="AQ115" s="3"/>
      <c r="AR115" s="5"/>
      <c r="AS115" s="6"/>
      <c r="AT115" s="7"/>
      <c r="AU115" s="3"/>
      <c r="AV115" s="5"/>
      <c r="AW115" s="6"/>
      <c r="AX115" s="7"/>
      <c r="AY115" s="2"/>
      <c r="AZ115" s="2"/>
      <c r="BA115" s="2"/>
      <c r="BB115" s="2"/>
      <c r="BC115" s="3"/>
      <c r="BD115" s="5"/>
      <c r="BE115" s="6"/>
      <c r="BF115" s="7"/>
      <c r="BG115" s="3"/>
      <c r="BH115" s="5"/>
      <c r="BI115" s="6"/>
      <c r="BJ115" s="7"/>
      <c r="BK115" s="3"/>
      <c r="BL115" s="5"/>
      <c r="BM115" s="6"/>
      <c r="BN115" s="7"/>
      <c r="BO115" s="2"/>
      <c r="BP115" s="2"/>
      <c r="BQ115" s="2"/>
      <c r="BR115" s="2"/>
    </row>
    <row r="116" spans="2:70" ht="18.75" customHeight="1" x14ac:dyDescent="0.25">
      <c r="B116" s="8" t="s">
        <v>454</v>
      </c>
      <c r="C116" s="3" t="s">
        <v>454</v>
      </c>
      <c r="D116" s="3"/>
      <c r="E116" s="5" t="s">
        <v>452</v>
      </c>
      <c r="F116" s="5"/>
      <c r="G116" s="6" t="str">
        <f ca="1">IFERROR(__xludf.DUMMYFUNCTION("GOOGLETRANSLATE(B116,""ja"",""ko"")"),"온천 달걀")</f>
        <v>온천 달걀</v>
      </c>
      <c r="H116" s="6"/>
      <c r="I116" s="7" t="str">
        <f ca="1">IFERROR(__xludf.DUMMYFUNCTION("GOOGLETRANSLATE(B116,""ja"",""zh"")"),"温泉蛋")</f>
        <v>温泉蛋</v>
      </c>
      <c r="J116" s="7"/>
      <c r="K116" s="3" t="s">
        <v>454</v>
      </c>
      <c r="L116" s="3"/>
      <c r="M116" s="5" t="s">
        <v>452</v>
      </c>
      <c r="N116" s="5"/>
      <c r="O116" s="6" t="str">
        <f ca="1">IFERROR(__xludf.DUMMYFUNCTION("GOOGLETRANSLATE(B116,""ja"",""ko"")"),"온천 달걀")</f>
        <v>온천 달걀</v>
      </c>
      <c r="P116" s="6"/>
      <c r="Q116" s="7" t="str">
        <f ca="1">IFERROR(__xludf.DUMMYFUNCTION("GOOGLETRANSLATE(B116,""ja"",""zh"")"),"温泉蛋")</f>
        <v>温泉蛋</v>
      </c>
      <c r="R116" s="7"/>
      <c r="S116" s="3" t="s">
        <v>454</v>
      </c>
      <c r="T116" s="5" t="str">
        <f ca="1">IFERROR(__xludf.DUMMYFUNCTION("GOOGLETRANSLATE(S116,""ja"",""en"")"),"hot spring egg")</f>
        <v>hot spring egg</v>
      </c>
      <c r="U116" s="6" t="str">
        <f ca="1">IFERROR(__xludf.DUMMYFUNCTION("GOOGLETRANSLATE(S116,""ja"",""ko"")"),"온천 달걀")</f>
        <v>온천 달걀</v>
      </c>
      <c r="V116" s="7" t="str">
        <f ca="1">IFERROR(__xludf.DUMMYFUNCTION("GOOGLETRANSLATE(S116,""ja"",""zh"")"),"温泉蛋")</f>
        <v>温泉蛋</v>
      </c>
      <c r="W116" s="3"/>
      <c r="X116" s="5"/>
      <c r="Y116" s="6"/>
      <c r="Z116" s="7"/>
      <c r="AA116" s="3"/>
      <c r="AB116" s="5"/>
      <c r="AC116" s="6"/>
      <c r="AD116" s="7"/>
      <c r="AE116" s="3"/>
      <c r="AF116" s="5"/>
      <c r="AG116" s="6"/>
      <c r="AH116" s="7"/>
      <c r="AI116" s="2"/>
      <c r="AJ116" s="2"/>
      <c r="AK116" s="2"/>
      <c r="AL116" s="2"/>
      <c r="AM116" s="3"/>
      <c r="AN116" s="5"/>
      <c r="AO116" s="6"/>
      <c r="AP116" s="7"/>
      <c r="AQ116" s="3"/>
      <c r="AR116" s="5"/>
      <c r="AS116" s="6"/>
      <c r="AT116" s="7"/>
      <c r="AU116" s="3"/>
      <c r="AV116" s="5"/>
      <c r="AW116" s="6"/>
      <c r="AX116" s="7"/>
      <c r="AY116" s="2"/>
      <c r="AZ116" s="2"/>
      <c r="BA116" s="2"/>
      <c r="BB116" s="2"/>
      <c r="BC116" s="3"/>
      <c r="BD116" s="5"/>
      <c r="BE116" s="6"/>
      <c r="BF116" s="7"/>
      <c r="BG116" s="3"/>
      <c r="BH116" s="5"/>
      <c r="BI116" s="6"/>
      <c r="BJ116" s="7"/>
      <c r="BK116" s="3"/>
      <c r="BL116" s="5"/>
      <c r="BM116" s="6"/>
      <c r="BN116" s="7"/>
      <c r="BO116" s="2"/>
      <c r="BP116" s="2"/>
      <c r="BQ116" s="2"/>
      <c r="BR116" s="2"/>
    </row>
    <row r="117" spans="2:70" ht="18.75" customHeight="1" x14ac:dyDescent="0.25">
      <c r="B117" s="8" t="s">
        <v>455</v>
      </c>
      <c r="C117" s="3" t="s">
        <v>456</v>
      </c>
      <c r="D117" s="3"/>
      <c r="E117" s="5" t="s">
        <v>457</v>
      </c>
      <c r="F117" s="5"/>
      <c r="G117" s="6" t="str">
        <f ca="1">IFERROR(__xludf.DUMMYFUNCTION("GOOGLETRANSLATE(B117,""ja"",""ko"")"),"일품생 달걀")</f>
        <v>일품생 달걀</v>
      </c>
      <c r="H117" s="6"/>
      <c r="I117" s="7" t="str">
        <f ca="1">IFERROR(__xludf.DUMMYFUNCTION("GOOGLETRANSLATE(B117,""ja"",""zh"")"),"精致的生鸡蛋")</f>
        <v>精致的生鸡蛋</v>
      </c>
      <c r="J117" s="7"/>
      <c r="K117" s="3" t="s">
        <v>456</v>
      </c>
      <c r="L117" s="3"/>
      <c r="M117" s="5" t="s">
        <v>457</v>
      </c>
      <c r="N117" s="5"/>
      <c r="O117" s="6" t="str">
        <f ca="1">IFERROR(__xludf.DUMMYFUNCTION("GOOGLETRANSLATE(B117,""ja"",""ko"")"),"일품생 달걀")</f>
        <v>일품생 달걀</v>
      </c>
      <c r="P117" s="6"/>
      <c r="Q117" s="7" t="str">
        <f ca="1">IFERROR(__xludf.DUMMYFUNCTION("GOOGLETRANSLATE(B117,""ja"",""zh"")"),"精致的生鸡蛋")</f>
        <v>精致的生鸡蛋</v>
      </c>
      <c r="R117" s="7"/>
      <c r="S117" s="3" t="s">
        <v>456</v>
      </c>
      <c r="T117" s="5" t="str">
        <f ca="1">IFERROR(__xludf.DUMMYFUNCTION("GOOGLETRANSLATE(S117,""ja"",""en"")"),"Exquisite raw egg")</f>
        <v>Exquisite raw egg</v>
      </c>
      <c r="U117" s="6" t="str">
        <f ca="1">IFERROR(__xludf.DUMMYFUNCTION("GOOGLETRANSLATE(S117,""ja"",""ko"")"),"일품 생 계란")</f>
        <v>일품 생 계란</v>
      </c>
      <c r="V117" s="7" t="str">
        <f ca="1">IFERROR(__xludf.DUMMYFUNCTION("GOOGLETRANSLATE(S117,""ja"",""zh"")"),"精致的生鸡蛋")</f>
        <v>精致的生鸡蛋</v>
      </c>
      <c r="W117" s="3"/>
      <c r="X117" s="5"/>
      <c r="Y117" s="6"/>
      <c r="Z117" s="7"/>
      <c r="AA117" s="3"/>
      <c r="AB117" s="5"/>
      <c r="AC117" s="6"/>
      <c r="AD117" s="7"/>
      <c r="AE117" s="3"/>
      <c r="AF117" s="5"/>
      <c r="AG117" s="6"/>
      <c r="AH117" s="7"/>
      <c r="AI117" s="2"/>
      <c r="AJ117" s="2"/>
      <c r="AK117" s="2"/>
      <c r="AL117" s="2"/>
      <c r="AM117" s="3"/>
      <c r="AN117" s="5"/>
      <c r="AO117" s="6"/>
      <c r="AP117" s="7"/>
      <c r="AQ117" s="3"/>
      <c r="AR117" s="5"/>
      <c r="AS117" s="6"/>
      <c r="AT117" s="7"/>
      <c r="AU117" s="3"/>
      <c r="AV117" s="5"/>
      <c r="AW117" s="6"/>
      <c r="AX117" s="7"/>
      <c r="AY117" s="2"/>
      <c r="AZ117" s="2"/>
      <c r="BA117" s="2"/>
      <c r="BB117" s="2"/>
      <c r="BC117" s="3"/>
      <c r="BD117" s="5"/>
      <c r="BE117" s="6"/>
      <c r="BF117" s="7"/>
      <c r="BG117" s="3"/>
      <c r="BH117" s="5"/>
      <c r="BI117" s="6"/>
      <c r="BJ117" s="7"/>
      <c r="BK117" s="3"/>
      <c r="BL117" s="5"/>
      <c r="BM117" s="6"/>
      <c r="BN117" s="7"/>
      <c r="BO117" s="2"/>
      <c r="BP117" s="2"/>
      <c r="BQ117" s="2"/>
      <c r="BR117" s="2"/>
    </row>
    <row r="118" spans="2:70" ht="18.75" customHeight="1" x14ac:dyDescent="0.25">
      <c r="B118" s="8" t="s">
        <v>458</v>
      </c>
      <c r="C118" s="3" t="s">
        <v>458</v>
      </c>
      <c r="D118" s="3"/>
      <c r="E118" s="5" t="s">
        <v>459</v>
      </c>
      <c r="F118" s="5"/>
      <c r="G118" s="6" t="str">
        <f ca="1">IFERROR(__xludf.DUMMYFUNCTION("GOOGLETRANSLATE(B118,""ja"",""ko"")"),"부드러운 쇠고기")</f>
        <v>부드러운 쇠고기</v>
      </c>
      <c r="H118" s="6"/>
      <c r="I118" s="7" t="str">
        <f ca="1">IFERROR(__xludf.DUMMYFUNCTION("GOOGLETRANSLATE(B118,""ja"",""zh"")"),"嫩牛肉")</f>
        <v>嫩牛肉</v>
      </c>
      <c r="J118" s="7"/>
      <c r="K118" s="3" t="s">
        <v>458</v>
      </c>
      <c r="L118" s="3"/>
      <c r="M118" s="5" t="s">
        <v>459</v>
      </c>
      <c r="N118" s="5"/>
      <c r="O118" s="6" t="str">
        <f ca="1">IFERROR(__xludf.DUMMYFUNCTION("GOOGLETRANSLATE(B118,""ja"",""ko"")"),"부드러운 쇠고기")</f>
        <v>부드러운 쇠고기</v>
      </c>
      <c r="P118" s="6"/>
      <c r="Q118" s="7" t="str">
        <f ca="1">IFERROR(__xludf.DUMMYFUNCTION("GOOGLETRANSLATE(B118,""ja"",""zh"")"),"嫩牛肉")</f>
        <v>嫩牛肉</v>
      </c>
      <c r="R118" s="7"/>
      <c r="S118" s="3" t="s">
        <v>458</v>
      </c>
      <c r="T118" s="5" t="str">
        <f ca="1">IFERROR(__xludf.DUMMYFUNCTION("GOOGLETRANSLATE(S118,""ja"",""en"")"),"tender beef")</f>
        <v>tender beef</v>
      </c>
      <c r="U118" s="6" t="str">
        <f ca="1">IFERROR(__xludf.DUMMYFUNCTION("GOOGLETRANSLATE(S118,""ja"",""ko"")"),"부드러운 쇠고기")</f>
        <v>부드러운 쇠고기</v>
      </c>
      <c r="V118" s="7" t="str">
        <f ca="1">IFERROR(__xludf.DUMMYFUNCTION("GOOGLETRANSLATE(S118,""ja"",""zh"")"),"嫩牛肉")</f>
        <v>嫩牛肉</v>
      </c>
      <c r="W118" s="3"/>
      <c r="X118" s="5"/>
      <c r="Y118" s="6"/>
      <c r="Z118" s="7"/>
      <c r="AA118" s="3"/>
      <c r="AB118" s="5"/>
      <c r="AC118" s="6"/>
      <c r="AD118" s="7"/>
      <c r="AE118" s="3"/>
      <c r="AF118" s="5"/>
      <c r="AG118" s="6"/>
      <c r="AH118" s="7"/>
      <c r="AI118" s="2"/>
      <c r="AJ118" s="2"/>
      <c r="AK118" s="2"/>
      <c r="AL118" s="2"/>
      <c r="AM118" s="3"/>
      <c r="AN118" s="5"/>
      <c r="AO118" s="6"/>
      <c r="AP118" s="7"/>
      <c r="AQ118" s="3"/>
      <c r="AR118" s="5"/>
      <c r="AS118" s="6"/>
      <c r="AT118" s="7"/>
      <c r="AU118" s="3"/>
      <c r="AV118" s="5"/>
      <c r="AW118" s="6"/>
      <c r="AX118" s="7"/>
      <c r="AY118" s="2"/>
      <c r="AZ118" s="2"/>
      <c r="BA118" s="2"/>
      <c r="BB118" s="2"/>
      <c r="BC118" s="3"/>
      <c r="BD118" s="5"/>
      <c r="BE118" s="6"/>
      <c r="BF118" s="7"/>
      <c r="BG118" s="3"/>
      <c r="BH118" s="5"/>
      <c r="BI118" s="6"/>
      <c r="BJ118" s="7"/>
      <c r="BK118" s="3"/>
      <c r="BL118" s="5"/>
      <c r="BM118" s="6"/>
      <c r="BN118" s="7"/>
      <c r="BO118" s="2"/>
      <c r="BP118" s="2"/>
      <c r="BQ118" s="2"/>
      <c r="BR118" s="2"/>
    </row>
    <row r="119" spans="2:70" ht="18.75" customHeight="1" x14ac:dyDescent="0.25">
      <c r="B119" s="8" t="s">
        <v>460</v>
      </c>
      <c r="C119" s="3" t="s">
        <v>460</v>
      </c>
      <c r="D119" s="3"/>
      <c r="E119" s="5" t="s">
        <v>461</v>
      </c>
      <c r="F119" s="5"/>
      <c r="G119" s="6" t="str">
        <f ca="1">IFERROR(__xludf.DUMMYFUNCTION("GOOGLETRANSLATE(B119,""ja"",""ko"")"),"하이볼")</f>
        <v>하이볼</v>
      </c>
      <c r="H119" s="6"/>
      <c r="I119" s="7" t="str">
        <f ca="1">IFERROR(__xludf.DUMMYFUNCTION("GOOGLETRANSLATE(B119,""ja"",""zh"")"),"高球")</f>
        <v>高球</v>
      </c>
      <c r="J119" s="7"/>
      <c r="K119" s="3" t="s">
        <v>460</v>
      </c>
      <c r="L119" s="3"/>
      <c r="M119" s="5" t="s">
        <v>461</v>
      </c>
      <c r="N119" s="5"/>
      <c r="O119" s="6" t="str">
        <f ca="1">IFERROR(__xludf.DUMMYFUNCTION("GOOGLETRANSLATE(B119,""ja"",""ko"")"),"하이볼")</f>
        <v>하이볼</v>
      </c>
      <c r="P119" s="6"/>
      <c r="Q119" s="7" t="str">
        <f ca="1">IFERROR(__xludf.DUMMYFUNCTION("GOOGLETRANSLATE(B119,""ja"",""zh"")"),"高球")</f>
        <v>高球</v>
      </c>
      <c r="R119" s="7"/>
      <c r="S119" s="3" t="s">
        <v>460</v>
      </c>
      <c r="T119" s="5" t="str">
        <f ca="1">IFERROR(__xludf.DUMMYFUNCTION("GOOGLETRANSLATE(S119,""ja"",""en"")"),"highball")</f>
        <v>highball</v>
      </c>
      <c r="U119" s="6" t="str">
        <f ca="1">IFERROR(__xludf.DUMMYFUNCTION("GOOGLETRANSLATE(S119,""ja"",""ko"")"),"하이볼")</f>
        <v>하이볼</v>
      </c>
      <c r="V119" s="7" t="str">
        <f ca="1">IFERROR(__xludf.DUMMYFUNCTION("GOOGLETRANSLATE(S119,""ja"",""zh"")"),"高球")</f>
        <v>高球</v>
      </c>
      <c r="W119" s="3"/>
      <c r="X119" s="5"/>
      <c r="Y119" s="6"/>
      <c r="Z119" s="7"/>
      <c r="AA119" s="3"/>
      <c r="AB119" s="5"/>
      <c r="AC119" s="6"/>
      <c r="AD119" s="7"/>
      <c r="AE119" s="3"/>
      <c r="AF119" s="5"/>
      <c r="AG119" s="6"/>
      <c r="AH119" s="7"/>
      <c r="AI119" s="2"/>
      <c r="AJ119" s="2"/>
      <c r="AK119" s="2"/>
      <c r="AL119" s="2"/>
      <c r="AM119" s="3"/>
      <c r="AN119" s="5"/>
      <c r="AO119" s="6"/>
      <c r="AP119" s="7"/>
      <c r="AQ119" s="3"/>
      <c r="AR119" s="5"/>
      <c r="AS119" s="6"/>
      <c r="AT119" s="7"/>
      <c r="AU119" s="3"/>
      <c r="AV119" s="5"/>
      <c r="AW119" s="6"/>
      <c r="AX119" s="7"/>
      <c r="AY119" s="2"/>
      <c r="AZ119" s="2"/>
      <c r="BA119" s="2"/>
      <c r="BB119" s="2"/>
      <c r="BC119" s="3"/>
      <c r="BD119" s="5"/>
      <c r="BE119" s="6"/>
      <c r="BF119" s="7"/>
      <c r="BG119" s="3"/>
      <c r="BH119" s="5"/>
      <c r="BI119" s="6"/>
      <c r="BJ119" s="7"/>
      <c r="BK119" s="3"/>
      <c r="BL119" s="5"/>
      <c r="BM119" s="6"/>
      <c r="BN119" s="7"/>
      <c r="BO119" s="2"/>
      <c r="BP119" s="2"/>
      <c r="BQ119" s="2"/>
      <c r="BR119" s="2"/>
    </row>
    <row r="120" spans="2:70" ht="18.75" customHeight="1" x14ac:dyDescent="0.25">
      <c r="B120" s="8" t="s">
        <v>462</v>
      </c>
      <c r="C120" s="3" t="s">
        <v>463</v>
      </c>
      <c r="D120" s="3" t="s">
        <v>464</v>
      </c>
      <c r="E120" s="5" t="s">
        <v>465</v>
      </c>
      <c r="F120" s="5"/>
      <c r="G120" s="6" t="str">
        <f ca="1">IFERROR(__xludf.DUMMYFUNCTION("GOOGLETRANSLATE(B120,""ja"",""ko"")"),"하이볼 짙은")</f>
        <v>하이볼 짙은</v>
      </c>
      <c r="H120" s="6"/>
      <c r="I120" s="7" t="str">
        <f ca="1">IFERROR(__xludf.DUMMYFUNCTION("GOOGLETRANSLATE(B120,""ja"",""zh"")"),"深色高杯酒")</f>
        <v>深色高杯酒</v>
      </c>
      <c r="J120" s="7"/>
      <c r="K120" s="3" t="s">
        <v>463</v>
      </c>
      <c r="L120" s="3" t="s">
        <v>464</v>
      </c>
      <c r="M120" s="5" t="s">
        <v>465</v>
      </c>
      <c r="N120" s="5"/>
      <c r="O120" s="6" t="str">
        <f ca="1">IFERROR(__xludf.DUMMYFUNCTION("GOOGLETRANSLATE(B120,""ja"",""ko"")"),"하이볼 짙은")</f>
        <v>하이볼 짙은</v>
      </c>
      <c r="P120" s="6"/>
      <c r="Q120" s="7" t="str">
        <f ca="1">IFERROR(__xludf.DUMMYFUNCTION("GOOGLETRANSLATE(B120,""ja"",""zh"")"),"深色高杯酒")</f>
        <v>深色高杯酒</v>
      </c>
      <c r="R120" s="7"/>
      <c r="S120" s="3" t="s">
        <v>462</v>
      </c>
      <c r="T120" s="5" t="str">
        <f ca="1">IFERROR(__xludf.DUMMYFUNCTION("GOOGLETRANSLATE(S120,""ja"",""en"")"),"Highball dark")</f>
        <v>Highball dark</v>
      </c>
      <c r="U120" s="6" t="str">
        <f ca="1">IFERROR(__xludf.DUMMYFUNCTION("GOOGLETRANSLATE(S120,""ja"",""ko"")"),"하이볼 짙은")</f>
        <v>하이볼 짙은</v>
      </c>
      <c r="V120" s="7" t="str">
        <f ca="1">IFERROR(__xludf.DUMMYFUNCTION("GOOGLETRANSLATE(S120,""ja"",""zh"")"),"深色高杯酒")</f>
        <v>深色高杯酒</v>
      </c>
      <c r="W120" s="3"/>
      <c r="X120" s="5"/>
      <c r="Y120" s="6"/>
      <c r="Z120" s="7"/>
      <c r="AA120" s="3"/>
      <c r="AB120" s="5"/>
      <c r="AC120" s="6"/>
      <c r="AD120" s="7"/>
      <c r="AE120" s="3"/>
      <c r="AF120" s="5"/>
      <c r="AG120" s="6"/>
      <c r="AH120" s="7"/>
      <c r="AI120" s="2"/>
      <c r="AJ120" s="2"/>
      <c r="AK120" s="2"/>
      <c r="AL120" s="2"/>
      <c r="AM120" s="3"/>
      <c r="AN120" s="5"/>
      <c r="AO120" s="6"/>
      <c r="AP120" s="7"/>
      <c r="AQ120" s="3"/>
      <c r="AR120" s="5"/>
      <c r="AS120" s="6"/>
      <c r="AT120" s="7"/>
      <c r="AU120" s="3"/>
      <c r="AV120" s="5"/>
      <c r="AW120" s="6"/>
      <c r="AX120" s="7"/>
      <c r="AY120" s="2"/>
      <c r="AZ120" s="2"/>
      <c r="BA120" s="2"/>
      <c r="BB120" s="2"/>
      <c r="BC120" s="3"/>
      <c r="BD120" s="5"/>
      <c r="BE120" s="6"/>
      <c r="BF120" s="7"/>
      <c r="BG120" s="3"/>
      <c r="BH120" s="5"/>
      <c r="BI120" s="6"/>
      <c r="BJ120" s="7"/>
      <c r="BK120" s="3"/>
      <c r="BL120" s="5"/>
      <c r="BM120" s="6"/>
      <c r="BN120" s="7"/>
      <c r="BO120" s="2"/>
      <c r="BP120" s="2"/>
      <c r="BQ120" s="2"/>
      <c r="BR120" s="2"/>
    </row>
    <row r="121" spans="2:70" ht="18.75" customHeight="1" x14ac:dyDescent="0.25">
      <c r="B121" s="8" t="s">
        <v>466</v>
      </c>
      <c r="C121" s="3" t="s">
        <v>466</v>
      </c>
      <c r="D121" s="3"/>
      <c r="E121" s="5" t="s">
        <v>467</v>
      </c>
      <c r="F121" s="5" t="s">
        <v>468</v>
      </c>
      <c r="G121" s="6" t="str">
        <f ca="1">IFERROR(__xludf.DUMMYFUNCTION("GOOGLETRANSLATE(B121,""ja"",""ko"")"),"튀김 5개")</f>
        <v>튀김 5개</v>
      </c>
      <c r="H121" s="6"/>
      <c r="I121" s="7" t="str">
        <f ca="1">IFERROR(__xludf.DUMMYFUNCTION("GOOGLETRANSLATE(B121,""ja"",""zh"")"),"炸鸡5块")</f>
        <v>炸鸡5块</v>
      </c>
      <c r="J121" s="7"/>
      <c r="K121" s="3" t="s">
        <v>466</v>
      </c>
      <c r="L121" s="3"/>
      <c r="M121" s="5" t="s">
        <v>467</v>
      </c>
      <c r="N121" s="5" t="s">
        <v>468</v>
      </c>
      <c r="O121" s="6" t="str">
        <f ca="1">IFERROR(__xludf.DUMMYFUNCTION("GOOGLETRANSLATE(B121,""ja"",""ko"")"),"튀김 5개")</f>
        <v>튀김 5개</v>
      </c>
      <c r="P121" s="6"/>
      <c r="Q121" s="7" t="str">
        <f ca="1">IFERROR(__xludf.DUMMYFUNCTION("GOOGLETRANSLATE(B121,""ja"",""zh"")"),"炸鸡5块")</f>
        <v>炸鸡5块</v>
      </c>
      <c r="R121" s="7"/>
      <c r="S121" s="3" t="s">
        <v>466</v>
      </c>
      <c r="T121" s="5" t="str">
        <f ca="1">IFERROR(__xludf.DUMMYFUNCTION("GOOGLETRANSLATE(S121,""ja"",""en"")"),"Fried chicken 5 pieces")</f>
        <v>Fried chicken 5 pieces</v>
      </c>
      <c r="U121" s="6" t="str">
        <f ca="1">IFERROR(__xludf.DUMMYFUNCTION("GOOGLETRANSLATE(S121,""ja"",""ko"")"),"튀김 5개")</f>
        <v>튀김 5개</v>
      </c>
      <c r="V121" s="7" t="str">
        <f ca="1">IFERROR(__xludf.DUMMYFUNCTION("GOOGLETRANSLATE(S121,""ja"",""zh"")"),"炸鸡5块")</f>
        <v>炸鸡5块</v>
      </c>
      <c r="W121" s="3"/>
      <c r="X121" s="5"/>
      <c r="Y121" s="6"/>
      <c r="Z121" s="7"/>
      <c r="AA121" s="3"/>
      <c r="AB121" s="5"/>
      <c r="AC121" s="6"/>
      <c r="AD121" s="7"/>
      <c r="AE121" s="3"/>
      <c r="AF121" s="5"/>
      <c r="AG121" s="6"/>
      <c r="AH121" s="7"/>
      <c r="AI121" s="2"/>
      <c r="AJ121" s="2"/>
      <c r="AK121" s="2"/>
      <c r="AL121" s="2"/>
      <c r="AM121" s="3"/>
      <c r="AN121" s="5"/>
      <c r="AO121" s="6"/>
      <c r="AP121" s="7"/>
      <c r="AQ121" s="3"/>
      <c r="AR121" s="5"/>
      <c r="AS121" s="6"/>
      <c r="AT121" s="7"/>
      <c r="AU121" s="3"/>
      <c r="AV121" s="5"/>
      <c r="AW121" s="6"/>
      <c r="AX121" s="7"/>
      <c r="AY121" s="2"/>
      <c r="AZ121" s="2"/>
      <c r="BA121" s="2"/>
      <c r="BB121" s="2"/>
      <c r="BC121" s="3"/>
      <c r="BD121" s="5"/>
      <c r="BE121" s="6"/>
      <c r="BF121" s="7"/>
      <c r="BG121" s="3"/>
      <c r="BH121" s="5"/>
      <c r="BI121" s="6"/>
      <c r="BJ121" s="7"/>
      <c r="BK121" s="3"/>
      <c r="BL121" s="5"/>
      <c r="BM121" s="6"/>
      <c r="BN121" s="7"/>
      <c r="BO121" s="2"/>
      <c r="BP121" s="2"/>
      <c r="BQ121" s="2"/>
      <c r="BR121" s="2"/>
    </row>
    <row r="122" spans="2:70" ht="18.75" customHeight="1" x14ac:dyDescent="0.25">
      <c r="B122" s="8" t="s">
        <v>469</v>
      </c>
      <c r="C122" s="3" t="s">
        <v>405</v>
      </c>
      <c r="D122" s="3" t="s">
        <v>125</v>
      </c>
      <c r="E122" s="5" t="s">
        <v>470</v>
      </c>
      <c r="F122" s="5" t="s">
        <v>471</v>
      </c>
      <c r="G122" s="6" t="str">
        <f ca="1">IFERROR(__xludf.DUMMYFUNCTION("GOOGLETRANSLATE(B122,""ja"",""ko"")"),"극단 특대 튀김 튀김")</f>
        <v>극단 특대 튀김 튀김</v>
      </c>
      <c r="H122" s="6"/>
      <c r="I122" s="7" t="str">
        <f ca="1">IFERROR(__xludf.DUMMYFUNCTION("GOOGLETRANSLATE(B122,""ja"",""zh"")"),"特厚、特大的kakiage（kakiage）")</f>
        <v>特厚、特大的kakiage（kakiage）</v>
      </c>
      <c r="J122" s="7"/>
      <c r="K122" s="3" t="s">
        <v>405</v>
      </c>
      <c r="L122" s="3" t="s">
        <v>125</v>
      </c>
      <c r="M122" s="5" t="s">
        <v>470</v>
      </c>
      <c r="N122" s="5" t="s">
        <v>471</v>
      </c>
      <c r="O122" s="6" t="str">
        <f ca="1">IFERROR(__xludf.DUMMYFUNCTION("GOOGLETRANSLATE(B122,""ja"",""ko"")"),"극단 특대 튀김 튀김")</f>
        <v>극단 특대 튀김 튀김</v>
      </c>
      <c r="P122" s="6"/>
      <c r="Q122" s="7" t="str">
        <f ca="1">IFERROR(__xludf.DUMMYFUNCTION("GOOGLETRANSLATE(B122,""ja"",""zh"")"),"特厚、特大的kakiage（kakiage）")</f>
        <v>特厚、特大的kakiage（kakiage）</v>
      </c>
      <c r="R122" s="7"/>
      <c r="S122" s="3" t="s">
        <v>405</v>
      </c>
      <c r="T122" s="5" t="str">
        <f ca="1">IFERROR(__xludf.DUMMYFUNCTION("GOOGLETRANSLATE(S122,""ja"",""en"")"),"Extra thick extra large kakiage")</f>
        <v>Extra thick extra large kakiage</v>
      </c>
      <c r="U122" s="6" t="str">
        <f ca="1">IFERROR(__xludf.DUMMYFUNCTION("GOOGLETRANSLATE(S122,""ja"",""ko"")"),"극단 특대 튀김")</f>
        <v>극단 특대 튀김</v>
      </c>
      <c r="V122" s="7" t="str">
        <f ca="1">IFERROR(__xludf.DUMMYFUNCTION("GOOGLETRANSLATE(S122,""ja"",""zh"")"),"特厚特大号炸薯条")</f>
        <v>特厚特大号炸薯条</v>
      </c>
      <c r="W122" s="3"/>
      <c r="X122" s="5"/>
      <c r="Y122" s="6"/>
      <c r="Z122" s="7"/>
      <c r="AA122" s="3"/>
      <c r="AB122" s="5"/>
      <c r="AC122" s="6"/>
      <c r="AD122" s="7"/>
      <c r="AE122" s="3"/>
      <c r="AF122" s="5"/>
      <c r="AG122" s="6"/>
      <c r="AH122" s="7"/>
      <c r="AI122" s="2"/>
      <c r="AJ122" s="2"/>
      <c r="AK122" s="2"/>
      <c r="AL122" s="2"/>
      <c r="AM122" s="3"/>
      <c r="AN122" s="5"/>
      <c r="AO122" s="6"/>
      <c r="AP122" s="7"/>
      <c r="AQ122" s="3"/>
      <c r="AR122" s="5"/>
      <c r="AS122" s="6"/>
      <c r="AT122" s="7"/>
      <c r="AU122" s="3"/>
      <c r="AV122" s="5"/>
      <c r="AW122" s="6"/>
      <c r="AX122" s="7"/>
      <c r="AY122" s="2"/>
      <c r="AZ122" s="2"/>
      <c r="BA122" s="2"/>
      <c r="BB122" s="2"/>
      <c r="BC122" s="3"/>
      <c r="BD122" s="5"/>
      <c r="BE122" s="6"/>
      <c r="BF122" s="7"/>
      <c r="BG122" s="3"/>
      <c r="BH122" s="5"/>
      <c r="BI122" s="6"/>
      <c r="BJ122" s="7"/>
      <c r="BK122" s="3"/>
      <c r="BL122" s="5"/>
      <c r="BM122" s="6"/>
      <c r="BN122" s="7"/>
      <c r="BO122" s="2"/>
      <c r="BP122" s="2"/>
      <c r="BQ122" s="2"/>
      <c r="BR122" s="2"/>
    </row>
    <row r="123" spans="2:70" ht="18.75" customHeight="1" x14ac:dyDescent="0.25">
      <c r="B123" s="8" t="s">
        <v>472</v>
      </c>
      <c r="C123" s="3" t="s">
        <v>409</v>
      </c>
      <c r="D123" s="3" t="s">
        <v>130</v>
      </c>
      <c r="E123" s="5" t="s">
        <v>411</v>
      </c>
      <c r="F123" s="5" t="s">
        <v>468</v>
      </c>
      <c r="G123" s="6" t="str">
        <f ca="1">IFERROR(__xludf.DUMMYFUNCTION("GOOGLETRANSLATE(B123,""ja"",""ko"")"),"블루 노리 특대 튀김 튀김")</f>
        <v>블루 노리 특대 튀김 튀김</v>
      </c>
      <c r="H123" s="6"/>
      <c r="I123" s="7" t="str">
        <f ca="1">IFERROR(__xludf.DUMMYFUNCTION("GOOGLETRANSLATE(B123,""ja"",""zh"")"),"青典特大号炸炸饼")</f>
        <v>青典特大号炸炸饼</v>
      </c>
      <c r="J123" s="7"/>
      <c r="K123" s="3" t="s">
        <v>409</v>
      </c>
      <c r="L123" s="3" t="s">
        <v>130</v>
      </c>
      <c r="M123" s="5" t="s">
        <v>411</v>
      </c>
      <c r="N123" s="5" t="s">
        <v>468</v>
      </c>
      <c r="O123" s="6" t="str">
        <f ca="1">IFERROR(__xludf.DUMMYFUNCTION("GOOGLETRANSLATE(B123,""ja"",""ko"")"),"블루 노리 특대 튀김 튀김")</f>
        <v>블루 노리 특대 튀김 튀김</v>
      </c>
      <c r="P123" s="6"/>
      <c r="Q123" s="7" t="str">
        <f ca="1">IFERROR(__xludf.DUMMYFUNCTION("GOOGLETRANSLATE(B123,""ja"",""zh"")"),"青典特大号炸炸饼")</f>
        <v>青典特大号炸炸饼</v>
      </c>
      <c r="R123" s="7"/>
      <c r="S123" s="3" t="s">
        <v>409</v>
      </c>
      <c r="T123" s="5" t="str">
        <f ca="1">IFERROR(__xludf.DUMMYFUNCTION("GOOGLETRANSLATE(S123,""ja"",""en"")"),"Aonori Extra Large Kakiage")</f>
        <v>Aonori Extra Large Kakiage</v>
      </c>
      <c r="U123" s="6" t="str">
        <f ca="1">IFERROR(__xludf.DUMMYFUNCTION("GOOGLETRANSLATE(S123,""ja"",""ko"")"),"블루 노리 특대 튀김")</f>
        <v>블루 노리 특대 튀김</v>
      </c>
      <c r="V123" s="7" t="str">
        <f ca="1">IFERROR(__xludf.DUMMYFUNCTION("GOOGLETRANSLATE(S123,""ja"",""zh"")"),"青海特大炸柿子")</f>
        <v>青海特大炸柿子</v>
      </c>
      <c r="W123" s="3"/>
      <c r="X123" s="5"/>
      <c r="Y123" s="6"/>
      <c r="Z123" s="7"/>
      <c r="AA123" s="3"/>
      <c r="AB123" s="5"/>
      <c r="AC123" s="6"/>
      <c r="AD123" s="7"/>
      <c r="AE123" s="3"/>
      <c r="AF123" s="5"/>
      <c r="AG123" s="6"/>
      <c r="AH123" s="7"/>
      <c r="AI123" s="2"/>
      <c r="AJ123" s="2"/>
      <c r="AK123" s="2"/>
      <c r="AL123" s="2"/>
      <c r="AM123" s="3"/>
      <c r="AN123" s="5"/>
      <c r="AO123" s="6"/>
      <c r="AP123" s="7"/>
      <c r="AQ123" s="3"/>
      <c r="AR123" s="5"/>
      <c r="AS123" s="6"/>
      <c r="AT123" s="7"/>
      <c r="AU123" s="3"/>
      <c r="AV123" s="5"/>
      <c r="AW123" s="6"/>
      <c r="AX123" s="7"/>
      <c r="AY123" s="2"/>
      <c r="AZ123" s="2"/>
      <c r="BA123" s="2"/>
      <c r="BB123" s="2"/>
      <c r="BC123" s="3"/>
      <c r="BD123" s="5"/>
      <c r="BE123" s="6"/>
      <c r="BF123" s="7"/>
      <c r="BG123" s="3"/>
      <c r="BH123" s="5"/>
      <c r="BI123" s="6"/>
      <c r="BJ123" s="7"/>
      <c r="BK123" s="3"/>
      <c r="BL123" s="5"/>
      <c r="BM123" s="6"/>
      <c r="BN123" s="7"/>
      <c r="BO123" s="2"/>
      <c r="BP123" s="2"/>
      <c r="BQ123" s="2"/>
      <c r="BR123" s="2"/>
    </row>
    <row r="124" spans="2:70" ht="18.75" customHeight="1" x14ac:dyDescent="0.25">
      <c r="B124" s="8" t="s">
        <v>473</v>
      </c>
      <c r="C124" s="3" t="s">
        <v>473</v>
      </c>
      <c r="D124" s="3"/>
      <c r="E124" s="5" t="s">
        <v>263</v>
      </c>
      <c r="F124" s="5" t="s">
        <v>415</v>
      </c>
      <c r="G124" s="6" t="str">
        <f ca="1">IFERROR(__xludf.DUMMYFUNCTION("GOOGLETRANSLATE(B124,""ja"",""ko"")"),"극단 오징어 천국")</f>
        <v>극단 오징어 천국</v>
      </c>
      <c r="H124" s="6"/>
      <c r="I124" s="7" t="str">
        <f ca="1">IFERROR(__xludf.DUMMYFUNCTION("GOOGLETRANSLATE(B124,""ja"",""zh"")"),"特厚鱿鱼天妇罗")</f>
        <v>特厚鱿鱼天妇罗</v>
      </c>
      <c r="J124" s="7"/>
      <c r="K124" s="3" t="s">
        <v>473</v>
      </c>
      <c r="L124" s="3"/>
      <c r="M124" s="5" t="s">
        <v>263</v>
      </c>
      <c r="N124" s="5" t="s">
        <v>415</v>
      </c>
      <c r="O124" s="6" t="str">
        <f ca="1">IFERROR(__xludf.DUMMYFUNCTION("GOOGLETRANSLATE(B124,""ja"",""ko"")"),"극단 오징어 천국")</f>
        <v>극단 오징어 천국</v>
      </c>
      <c r="P124" s="6"/>
      <c r="Q124" s="7" t="str">
        <f ca="1">IFERROR(__xludf.DUMMYFUNCTION("GOOGLETRANSLATE(B124,""ja"",""zh"")"),"特厚鱿鱼天妇罗")</f>
        <v>特厚鱿鱼天妇罗</v>
      </c>
      <c r="R124" s="7"/>
      <c r="S124" s="3" t="s">
        <v>473</v>
      </c>
      <c r="T124" s="5" t="str">
        <f ca="1">IFERROR(__xludf.DUMMYFUNCTION("GOOGLETRANSLATE(S124,""ja"",""en"")"),"Extra thick squid tempura")</f>
        <v>Extra thick squid tempura</v>
      </c>
      <c r="U124" s="6" t="str">
        <f ca="1">IFERROR(__xludf.DUMMYFUNCTION("GOOGLETRANSLATE(S124,""ja"",""ko"")"),"극단 오징어 천국")</f>
        <v>극단 오징어 천국</v>
      </c>
      <c r="V124" s="7" t="str">
        <f ca="1">IFERROR(__xludf.DUMMYFUNCTION("GOOGLETRANSLATE(S124,""ja"",""zh"")"),"特厚鱿鱼天妇罗")</f>
        <v>特厚鱿鱼天妇罗</v>
      </c>
      <c r="W124" s="3"/>
      <c r="X124" s="5"/>
      <c r="Y124" s="6"/>
      <c r="Z124" s="7"/>
      <c r="AA124" s="3"/>
      <c r="AB124" s="5"/>
      <c r="AC124" s="6"/>
      <c r="AD124" s="7"/>
      <c r="AE124" s="3"/>
      <c r="AF124" s="5"/>
      <c r="AG124" s="6"/>
      <c r="AH124" s="7"/>
      <c r="AI124" s="2"/>
      <c r="AJ124" s="2"/>
      <c r="AK124" s="2"/>
      <c r="AL124" s="2"/>
      <c r="AM124" s="3"/>
      <c r="AN124" s="5"/>
      <c r="AO124" s="6"/>
      <c r="AP124" s="7"/>
      <c r="AQ124" s="3"/>
      <c r="AR124" s="5"/>
      <c r="AS124" s="6"/>
      <c r="AT124" s="7"/>
      <c r="AU124" s="3"/>
      <c r="AV124" s="5"/>
      <c r="AW124" s="6"/>
      <c r="AX124" s="7"/>
      <c r="AY124" s="2"/>
      <c r="AZ124" s="2"/>
      <c r="BA124" s="2"/>
      <c r="BB124" s="2"/>
      <c r="BC124" s="3"/>
      <c r="BD124" s="5"/>
      <c r="BE124" s="6"/>
      <c r="BF124" s="7"/>
      <c r="BG124" s="3"/>
      <c r="BH124" s="5"/>
      <c r="BI124" s="6"/>
      <c r="BJ124" s="7"/>
      <c r="BK124" s="3"/>
      <c r="BL124" s="5"/>
      <c r="BM124" s="6"/>
      <c r="BN124" s="7"/>
      <c r="BO124" s="2"/>
      <c r="BP124" s="2"/>
      <c r="BQ124" s="2"/>
      <c r="BR124" s="2"/>
    </row>
    <row r="125" spans="2:70" ht="18.75" customHeight="1" x14ac:dyDescent="0.25">
      <c r="B125" s="8" t="s">
        <v>474</v>
      </c>
      <c r="C125" s="3" t="s">
        <v>474</v>
      </c>
      <c r="D125" s="3"/>
      <c r="E125" s="5" t="s">
        <v>475</v>
      </c>
      <c r="F125" s="5"/>
      <c r="G125" s="6" t="str">
        <f ca="1">IFERROR(__xludf.DUMMYFUNCTION("GOOGLETRANSLATE(B125,""ja"",""ko"")"),"오쿠라 천 2개")</f>
        <v>오쿠라 천 2개</v>
      </c>
      <c r="H125" s="6"/>
      <c r="I125" s="7" t="str">
        <f ca="1">IFERROR(__xludf.DUMMYFUNCTION("GOOGLETRANSLATE(B125,""ja"",""zh"")"),"秋葵天妇罗2个")</f>
        <v>秋葵天妇罗2个</v>
      </c>
      <c r="J125" s="7"/>
      <c r="K125" s="3" t="s">
        <v>474</v>
      </c>
      <c r="L125" s="3"/>
      <c r="M125" s="5" t="s">
        <v>475</v>
      </c>
      <c r="N125" s="5"/>
      <c r="O125" s="6" t="str">
        <f ca="1">IFERROR(__xludf.DUMMYFUNCTION("GOOGLETRANSLATE(B125,""ja"",""ko"")"),"오쿠라 천 2개")</f>
        <v>오쿠라 천 2개</v>
      </c>
      <c r="P125" s="6"/>
      <c r="Q125" s="7" t="str">
        <f ca="1">IFERROR(__xludf.DUMMYFUNCTION("GOOGLETRANSLATE(B125,""ja"",""zh"")"),"秋葵天妇罗2个")</f>
        <v>秋葵天妇罗2个</v>
      </c>
      <c r="R125" s="7"/>
      <c r="S125" s="3" t="s">
        <v>474</v>
      </c>
      <c r="T125" s="5" t="str">
        <f ca="1">IFERROR(__xludf.DUMMYFUNCTION("GOOGLETRANSLATE(S125,""ja"",""en"")"),"Okra tempura 2 pieces")</f>
        <v>Okra tempura 2 pieces</v>
      </c>
      <c r="U125" s="6" t="str">
        <f ca="1">IFERROR(__xludf.DUMMYFUNCTION("GOOGLETRANSLATE(S125,""ja"",""ko"")"),"오쿠라 천 2개")</f>
        <v>오쿠라 천 2개</v>
      </c>
      <c r="V125" s="7" t="str">
        <f ca="1">IFERROR(__xludf.DUMMYFUNCTION("GOOGLETRANSLATE(S125,""ja"",""zh"")"),"秋葵天妇罗2个")</f>
        <v>秋葵天妇罗2个</v>
      </c>
      <c r="W125" s="3"/>
      <c r="X125" s="5"/>
      <c r="Y125" s="6"/>
      <c r="Z125" s="7"/>
      <c r="AA125" s="3"/>
      <c r="AB125" s="5"/>
      <c r="AC125" s="6"/>
      <c r="AD125" s="7"/>
      <c r="AE125" s="3"/>
      <c r="AF125" s="5"/>
      <c r="AG125" s="6"/>
      <c r="AH125" s="7"/>
      <c r="AI125" s="2"/>
      <c r="AJ125" s="2"/>
      <c r="AK125" s="2"/>
      <c r="AL125" s="2"/>
      <c r="AM125" s="3"/>
      <c r="AN125" s="5"/>
      <c r="AO125" s="6"/>
      <c r="AP125" s="7"/>
      <c r="AQ125" s="3"/>
      <c r="AR125" s="5"/>
      <c r="AS125" s="6"/>
      <c r="AT125" s="7"/>
      <c r="AU125" s="3"/>
      <c r="AV125" s="5"/>
      <c r="AW125" s="6"/>
      <c r="AX125" s="7"/>
      <c r="AY125" s="2"/>
      <c r="AZ125" s="2"/>
      <c r="BA125" s="2"/>
      <c r="BB125" s="2"/>
      <c r="BC125" s="3"/>
      <c r="BD125" s="5"/>
      <c r="BE125" s="6"/>
      <c r="BF125" s="7"/>
      <c r="BG125" s="3"/>
      <c r="BH125" s="5"/>
      <c r="BI125" s="6"/>
      <c r="BJ125" s="7"/>
      <c r="BK125" s="3"/>
      <c r="BL125" s="5"/>
      <c r="BM125" s="6"/>
      <c r="BN125" s="7"/>
      <c r="BO125" s="2"/>
      <c r="BP125" s="2"/>
      <c r="BQ125" s="2"/>
      <c r="BR125" s="2"/>
    </row>
    <row r="126" spans="2:70" ht="18.75" customHeight="1" x14ac:dyDescent="0.25">
      <c r="B126" s="8" t="s">
        <v>476</v>
      </c>
      <c r="C126" s="3" t="s">
        <v>476</v>
      </c>
      <c r="D126" s="3"/>
      <c r="E126" s="5" t="s">
        <v>477</v>
      </c>
      <c r="F126" s="5"/>
      <c r="G126" s="6" t="str">
        <f ca="1">IFERROR(__xludf.DUMMYFUNCTION("GOOGLETRANSLATE(B126,""ja"",""ko"")"),"블루 노리 오징어 천국")</f>
        <v>블루 노리 오징어 천국</v>
      </c>
      <c r="H126" s="6"/>
      <c r="I126" s="7" t="str">
        <f ca="1">IFERROR(__xludf.DUMMYFUNCTION("GOOGLETRANSLATE(B126,""ja"",""zh"")"),"青海苔鱿鱼天妇罗")</f>
        <v>青海苔鱿鱼天妇罗</v>
      </c>
      <c r="J126" s="7"/>
      <c r="K126" s="3" t="s">
        <v>476</v>
      </c>
      <c r="L126" s="3"/>
      <c r="M126" s="5" t="s">
        <v>477</v>
      </c>
      <c r="N126" s="5"/>
      <c r="O126" s="6" t="str">
        <f ca="1">IFERROR(__xludf.DUMMYFUNCTION("GOOGLETRANSLATE(B126,""ja"",""ko"")"),"블루 노리 오징어 천국")</f>
        <v>블루 노리 오징어 천국</v>
      </c>
      <c r="P126" s="6"/>
      <c r="Q126" s="7" t="str">
        <f ca="1">IFERROR(__xludf.DUMMYFUNCTION("GOOGLETRANSLATE(B126,""ja"",""zh"")"),"青海苔鱿鱼天妇罗")</f>
        <v>青海苔鱿鱼天妇罗</v>
      </c>
      <c r="R126" s="7"/>
      <c r="S126" s="3" t="s">
        <v>478</v>
      </c>
      <c r="T126" s="5" t="str">
        <f ca="1">IFERROR(__xludf.DUMMYFUNCTION("GOOGLETRANSLATE(S126,""ja"",""en"")"),"Blue squid tempura")</f>
        <v>Blue squid tempura</v>
      </c>
      <c r="U126" s="6" t="str">
        <f ca="1">IFERROR(__xludf.DUMMYFUNCTION("GOOGLETRANSLATE(S126,""ja"",""ko"")"),"푸른 오징어 천국")</f>
        <v>푸른 오징어 천국</v>
      </c>
      <c r="V126" s="7" t="str">
        <f ca="1">IFERROR(__xludf.DUMMYFUNCTION("GOOGLETRANSLATE(S126,""ja"",""zh"")"),"蓝鱿鱼天妇罗")</f>
        <v>蓝鱿鱼天妇罗</v>
      </c>
      <c r="W126" s="3"/>
      <c r="X126" s="5"/>
      <c r="Y126" s="6"/>
      <c r="Z126" s="7"/>
      <c r="AA126" s="3"/>
      <c r="AB126" s="5"/>
      <c r="AC126" s="6"/>
      <c r="AD126" s="7"/>
      <c r="AE126" s="3"/>
      <c r="AF126" s="5"/>
      <c r="AG126" s="6"/>
      <c r="AH126" s="7"/>
      <c r="AI126" s="2"/>
      <c r="AJ126" s="2"/>
      <c r="AK126" s="2"/>
      <c r="AL126" s="2"/>
      <c r="AM126" s="3"/>
      <c r="AN126" s="5"/>
      <c r="AO126" s="6"/>
      <c r="AP126" s="7"/>
      <c r="AQ126" s="3"/>
      <c r="AR126" s="5"/>
      <c r="AS126" s="6"/>
      <c r="AT126" s="7"/>
      <c r="AU126" s="3"/>
      <c r="AV126" s="5"/>
      <c r="AW126" s="6"/>
      <c r="AX126" s="7"/>
      <c r="AY126" s="2"/>
      <c r="AZ126" s="2"/>
      <c r="BA126" s="2"/>
      <c r="BB126" s="2"/>
      <c r="BC126" s="3"/>
      <c r="BD126" s="5"/>
      <c r="BE126" s="6"/>
      <c r="BF126" s="7"/>
      <c r="BG126" s="3"/>
      <c r="BH126" s="5"/>
      <c r="BI126" s="6"/>
      <c r="BJ126" s="7"/>
      <c r="BK126" s="3"/>
      <c r="BL126" s="5"/>
      <c r="BM126" s="6"/>
      <c r="BN126" s="7"/>
      <c r="BO126" s="2"/>
      <c r="BP126" s="2"/>
      <c r="BQ126" s="2"/>
      <c r="BR126" s="2"/>
    </row>
    <row r="127" spans="2:70" ht="18.75" customHeight="1" x14ac:dyDescent="0.25">
      <c r="B127" s="8" t="s">
        <v>479</v>
      </c>
      <c r="C127" s="3" t="s">
        <v>480</v>
      </c>
      <c r="D127" s="3" t="s">
        <v>299</v>
      </c>
      <c r="E127" s="5" t="s">
        <v>481</v>
      </c>
      <c r="F127" s="5" t="s">
        <v>298</v>
      </c>
      <c r="G127" s="6" t="str">
        <f ca="1">IFERROR(__xludf.DUMMYFUNCTION("GOOGLETRANSLATE(B127,""ja"",""ko"")"),"테이크 아웃 야키토리 돈")</f>
        <v>테이크 아웃 야키토리 돈</v>
      </c>
      <c r="H127" s="6"/>
      <c r="I127" s="7" t="str">
        <f ca="1">IFERROR(__xludf.DUMMYFUNCTION("GOOGLETRANSLATE(B127,""ja"",""zh"")"),"外卖烤鸡肉串丼")</f>
        <v>外卖烤鸡肉串丼</v>
      </c>
      <c r="J127" s="7"/>
      <c r="K127" s="3" t="s">
        <v>480</v>
      </c>
      <c r="L127" s="3" t="s">
        <v>299</v>
      </c>
      <c r="M127" s="5" t="s">
        <v>481</v>
      </c>
      <c r="N127" s="5" t="s">
        <v>298</v>
      </c>
      <c r="O127" s="6" t="str">
        <f ca="1">IFERROR(__xludf.DUMMYFUNCTION("GOOGLETRANSLATE(B127,""ja"",""ko"")"),"테이크 아웃 야키토리 돈")</f>
        <v>테이크 아웃 야키토리 돈</v>
      </c>
      <c r="P127" s="6"/>
      <c r="Q127" s="7" t="str">
        <f ca="1">IFERROR(__xludf.DUMMYFUNCTION("GOOGLETRANSLATE(B127,""ja"",""zh"")"),"外卖烤鸡肉串丼")</f>
        <v>外卖烤鸡肉串丼</v>
      </c>
      <c r="R127" s="7"/>
      <c r="S127" s="3" t="s">
        <v>482</v>
      </c>
      <c r="T127" s="5" t="str">
        <f ca="1">IFERROR(__xludf.DUMMYFUNCTION("GOOGLETRANSLATE(S127,""ja"",""en"")"),"Take-out yakitori bowl")</f>
        <v>Take-out yakitori bowl</v>
      </c>
      <c r="U127" s="6" t="str">
        <f ca="1">IFERROR(__xludf.DUMMYFUNCTION("GOOGLETRANSLATE(S127,""ja"",""ko"")"),"테이크아웃 야키토리동동")</f>
        <v>테이크아웃 야키토리동동</v>
      </c>
      <c r="V127" s="7" t="str">
        <f ca="1">IFERROR(__xludf.DUMMYFUNCTION("GOOGLETRANSLATE(S127,""ja"",""zh"")"),"外带烤鸡肉串碗")</f>
        <v>外带烤鸡肉串碗</v>
      </c>
      <c r="W127" s="3"/>
      <c r="X127" s="5"/>
      <c r="Y127" s="6"/>
      <c r="Z127" s="7"/>
      <c r="AA127" s="3"/>
      <c r="AB127" s="5"/>
      <c r="AC127" s="6"/>
      <c r="AD127" s="7"/>
      <c r="AE127" s="3"/>
      <c r="AF127" s="5"/>
      <c r="AG127" s="6"/>
      <c r="AH127" s="7"/>
      <c r="AI127" s="2"/>
      <c r="AJ127" s="2"/>
      <c r="AK127" s="2"/>
      <c r="AL127" s="2"/>
      <c r="AM127" s="3"/>
      <c r="AN127" s="5"/>
      <c r="AO127" s="6"/>
      <c r="AP127" s="7"/>
      <c r="AQ127" s="3"/>
      <c r="AR127" s="5"/>
      <c r="AS127" s="6"/>
      <c r="AT127" s="7"/>
      <c r="AU127" s="3"/>
      <c r="AV127" s="5"/>
      <c r="AW127" s="6"/>
      <c r="AX127" s="7"/>
      <c r="AY127" s="2"/>
      <c r="AZ127" s="2"/>
      <c r="BA127" s="2"/>
      <c r="BB127" s="2"/>
      <c r="BC127" s="3"/>
      <c r="BD127" s="5"/>
      <c r="BE127" s="6"/>
      <c r="BF127" s="7"/>
      <c r="BG127" s="3"/>
      <c r="BH127" s="5"/>
      <c r="BI127" s="6"/>
      <c r="BJ127" s="7"/>
      <c r="BK127" s="3"/>
      <c r="BL127" s="5"/>
      <c r="BM127" s="6"/>
      <c r="BN127" s="7"/>
      <c r="BO127" s="2"/>
      <c r="BP127" s="2"/>
      <c r="BQ127" s="2"/>
      <c r="BR127" s="2"/>
    </row>
    <row r="128" spans="2:70" ht="18.75" customHeight="1" x14ac:dyDescent="0.25">
      <c r="B128" s="8" t="s">
        <v>483</v>
      </c>
      <c r="C128" s="3" t="s">
        <v>484</v>
      </c>
      <c r="D128" s="3" t="e">
        <v>#NAME?</v>
      </c>
      <c r="E128" s="5" t="s">
        <v>481</v>
      </c>
      <c r="F128" s="5" t="s">
        <v>485</v>
      </c>
      <c r="G128" s="6" t="str">
        <f ca="1">IFERROR(__xludf.DUMMYFUNCTION("GOOGLETRANSLATE(B128,""ja"",""ko"")"),"테이크 아웃 야키토리 덮밥 + 온천 달걀")</f>
        <v>테이크 아웃 야키토리 덮밥 + 온천 달걀</v>
      </c>
      <c r="H128" s="6"/>
      <c r="I128" s="7" t="str">
        <f ca="1">IFERROR(__xludf.DUMMYFUNCTION("GOOGLETRANSLATE(B128,""ja"",""zh"")"),"外带烤鸡肉串+温泉蛋")</f>
        <v>外带烤鸡肉串+温泉蛋</v>
      </c>
      <c r="J128" s="7"/>
      <c r="K128" s="3" t="s">
        <v>484</v>
      </c>
      <c r="L128" s="3" t="e">
        <v>#NAME?</v>
      </c>
      <c r="M128" s="5" t="s">
        <v>481</v>
      </c>
      <c r="N128" s="5" t="s">
        <v>485</v>
      </c>
      <c r="O128" s="6" t="str">
        <f ca="1">IFERROR(__xludf.DUMMYFUNCTION("GOOGLETRANSLATE(B128,""ja"",""ko"")"),"테이크 아웃 야키토리 덮밥 + 온천 달걀")</f>
        <v>테이크 아웃 야키토리 덮밥 + 온천 달걀</v>
      </c>
      <c r="P128" s="6"/>
      <c r="Q128" s="7" t="str">
        <f ca="1">IFERROR(__xludf.DUMMYFUNCTION("GOOGLETRANSLATE(B128,""ja"",""zh"")"),"外带烤鸡肉串+温泉蛋")</f>
        <v>外带烤鸡肉串+温泉蛋</v>
      </c>
      <c r="R128" s="7"/>
      <c r="S128" s="3" t="s">
        <v>484</v>
      </c>
      <c r="T128" s="5" t="str">
        <f ca="1">IFERROR(__xludf.DUMMYFUNCTION("GOOGLETRANSLATE(S128,""ja"",""en"")"),"Takeout Yakitori")</f>
        <v>Takeout Yakitori</v>
      </c>
      <c r="U128" s="6" t="str">
        <f ca="1">IFERROR(__xludf.DUMMYFUNCTION("GOOGLETRANSLATE(S128,""ja"",""ko"")"),"테이크 아웃 야키토리")</f>
        <v>테이크 아웃 야키토리</v>
      </c>
      <c r="V128" s="7" t="str">
        <f ca="1">IFERROR(__xludf.DUMMYFUNCTION("GOOGLETRANSLATE(S128,""ja"",""zh"")"),"外卖烤鸡肉串")</f>
        <v>外卖烤鸡肉串</v>
      </c>
      <c r="W128" s="3"/>
      <c r="X128" s="5"/>
      <c r="Y128" s="6"/>
      <c r="Z128" s="7"/>
      <c r="AA128" s="3"/>
      <c r="AB128" s="5"/>
      <c r="AC128" s="6"/>
      <c r="AD128" s="7"/>
      <c r="AE128" s="3"/>
      <c r="AF128" s="5"/>
      <c r="AG128" s="6"/>
      <c r="AH128" s="7"/>
      <c r="AI128" s="2"/>
      <c r="AJ128" s="2"/>
      <c r="AK128" s="2"/>
      <c r="AL128" s="2"/>
      <c r="AM128" s="3"/>
      <c r="AN128" s="5"/>
      <c r="AO128" s="6"/>
      <c r="AP128" s="7"/>
      <c r="AQ128" s="3"/>
      <c r="AR128" s="5"/>
      <c r="AS128" s="6"/>
      <c r="AT128" s="7"/>
      <c r="AU128" s="3"/>
      <c r="AV128" s="5"/>
      <c r="AW128" s="6"/>
      <c r="AX128" s="7"/>
      <c r="AY128" s="2"/>
      <c r="AZ128" s="2"/>
      <c r="BA128" s="2"/>
      <c r="BB128" s="2"/>
      <c r="BC128" s="3"/>
      <c r="BD128" s="5"/>
      <c r="BE128" s="6"/>
      <c r="BF128" s="7"/>
      <c r="BG128" s="3"/>
      <c r="BH128" s="5"/>
      <c r="BI128" s="6"/>
      <c r="BJ128" s="7"/>
      <c r="BK128" s="3"/>
      <c r="BL128" s="5"/>
      <c r="BM128" s="6"/>
      <c r="BN128" s="7"/>
      <c r="BO128" s="2"/>
      <c r="BP128" s="2"/>
      <c r="BQ128" s="2"/>
      <c r="BR128" s="2"/>
    </row>
    <row r="129" spans="2:70" ht="18.75" customHeight="1" x14ac:dyDescent="0.25">
      <c r="B129" s="8" t="s">
        <v>486</v>
      </c>
      <c r="C129" s="3" t="s">
        <v>487</v>
      </c>
      <c r="D129" s="3" t="s">
        <v>296</v>
      </c>
      <c r="E129" s="10" t="s">
        <v>481</v>
      </c>
      <c r="F129" s="5" t="s">
        <v>488</v>
      </c>
      <c r="G129" s="6" t="str">
        <f ca="1">IFERROR(__xludf.DUMMYFUNCTION("GOOGLETRANSLATE(B129,""ja"",""ko"")"),"테이크 아웃 부드러운 쇠고기 덮밥")</f>
        <v>테이크 아웃 부드러운 쇠고기 덮밥</v>
      </c>
      <c r="H129" s="6"/>
      <c r="I129" s="7" t="str">
        <f ca="1">IFERROR(__xludf.DUMMYFUNCTION("GOOGLETRANSLATE(B129,""ja"",""zh"")"),"外卖软牛肉碗")</f>
        <v>外卖软牛肉碗</v>
      </c>
      <c r="J129" s="7"/>
      <c r="K129" s="3" t="s">
        <v>487</v>
      </c>
      <c r="L129" s="3" t="s">
        <v>296</v>
      </c>
      <c r="M129" s="10" t="s">
        <v>481</v>
      </c>
      <c r="N129" s="5" t="s">
        <v>488</v>
      </c>
      <c r="O129" s="6" t="str">
        <f ca="1">IFERROR(__xludf.DUMMYFUNCTION("GOOGLETRANSLATE(B129,""ja"",""ko"")"),"테이크 아웃 부드러운 쇠고기 덮밥")</f>
        <v>테이크 아웃 부드러운 쇠고기 덮밥</v>
      </c>
      <c r="P129" s="6"/>
      <c r="Q129" s="7" t="str">
        <f ca="1">IFERROR(__xludf.DUMMYFUNCTION("GOOGLETRANSLATE(B129,""ja"",""zh"")"),"外卖软牛肉碗")</f>
        <v>外卖软牛肉碗</v>
      </c>
      <c r="R129" s="7"/>
      <c r="S129" s="3" t="s">
        <v>487</v>
      </c>
      <c r="T129" s="5" t="str">
        <f ca="1">IFERROR(__xludf.DUMMYFUNCTION("GOOGLETRANSLATE(S129,""ja"",""en"")"),"Takeout Soft")</f>
        <v>Takeout Soft</v>
      </c>
      <c r="U129" s="6" t="str">
        <f ca="1">IFERROR(__xludf.DUMMYFUNCTION("GOOGLETRANSLATE(S129,""ja"",""ko"")"),"테이크 아웃 부드러운")</f>
        <v>테이크 아웃 부드러운</v>
      </c>
      <c r="V129" s="7" t="str">
        <f ca="1">IFERROR(__xludf.DUMMYFUNCTION("GOOGLETRANSLATE(S129,""ja"",""zh"")"),"外卖软")</f>
        <v>外卖软</v>
      </c>
      <c r="W129" s="3"/>
      <c r="X129" s="5"/>
      <c r="Y129" s="6"/>
      <c r="Z129" s="7"/>
      <c r="AA129" s="3"/>
      <c r="AB129" s="5"/>
      <c r="AC129" s="6"/>
      <c r="AD129" s="7"/>
      <c r="AE129" s="3"/>
      <c r="AF129" s="5"/>
      <c r="AG129" s="6"/>
      <c r="AH129" s="7"/>
      <c r="AI129" s="2"/>
      <c r="AJ129" s="2"/>
      <c r="AK129" s="2"/>
      <c r="AL129" s="2"/>
      <c r="AM129" s="3"/>
      <c r="AN129" s="5"/>
      <c r="AO129" s="6"/>
      <c r="AP129" s="7"/>
      <c r="AQ129" s="3"/>
      <c r="AR129" s="5"/>
      <c r="AS129" s="6"/>
      <c r="AT129" s="7"/>
      <c r="AU129" s="3"/>
      <c r="AV129" s="5"/>
      <c r="AW129" s="6"/>
      <c r="AX129" s="7"/>
      <c r="AY129" s="2"/>
      <c r="AZ129" s="2"/>
      <c r="BA129" s="2"/>
      <c r="BB129" s="2"/>
      <c r="BC129" s="3"/>
      <c r="BD129" s="5"/>
      <c r="BE129" s="6"/>
      <c r="BF129" s="7"/>
      <c r="BG129" s="3"/>
      <c r="BH129" s="5"/>
      <c r="BI129" s="6"/>
      <c r="BJ129" s="7"/>
      <c r="BK129" s="3"/>
      <c r="BL129" s="5"/>
      <c r="BM129" s="6"/>
      <c r="BN129" s="7"/>
      <c r="BO129" s="2"/>
      <c r="BP129" s="2"/>
      <c r="BQ129" s="2"/>
      <c r="BR129" s="2"/>
    </row>
    <row r="130" spans="2:70" ht="18.75" customHeight="1" x14ac:dyDescent="0.25">
      <c r="B130" s="8" t="s">
        <v>489</v>
      </c>
      <c r="C130" s="3" t="s">
        <v>490</v>
      </c>
      <c r="D130" s="3" t="s">
        <v>491</v>
      </c>
      <c r="E130" s="5" t="s">
        <v>481</v>
      </c>
      <c r="F130" s="5" t="s">
        <v>492</v>
      </c>
      <c r="G130" s="6" t="str">
        <f ca="1">IFERROR(__xludf.DUMMYFUNCTION("GOOGLETRANSLATE(B130,""ja"",""ko"")"),"테이크 아웃 돈과 2 장의 튀김")</f>
        <v>테이크 아웃 돈과 2 장의 튀김</v>
      </c>
      <c r="H130" s="6"/>
      <c r="I130" s="7" t="str">
        <f ca="1">IFERROR(__xludf.DUMMYFUNCTION("GOOGLETRANSLATE(B130,""ja"",""zh"")"),"外卖黎明和2块牛筋")</f>
        <v>外卖黎明和2块牛筋</v>
      </c>
      <c r="J130" s="7"/>
      <c r="K130" s="3" t="s">
        <v>490</v>
      </c>
      <c r="L130" s="3" t="s">
        <v>491</v>
      </c>
      <c r="M130" s="5" t="s">
        <v>481</v>
      </c>
      <c r="N130" s="5" t="s">
        <v>492</v>
      </c>
      <c r="O130" s="6" t="str">
        <f ca="1">IFERROR(__xludf.DUMMYFUNCTION("GOOGLETRANSLATE(B130,""ja"",""ko"")"),"테이크 아웃 돈과 2 장의 튀김")</f>
        <v>테이크 아웃 돈과 2 장의 튀김</v>
      </c>
      <c r="P130" s="6"/>
      <c r="Q130" s="7" t="str">
        <f ca="1">IFERROR(__xludf.DUMMYFUNCTION("GOOGLETRANSLATE(B130,""ja"",""zh"")"),"外卖黎明和2块牛筋")</f>
        <v>外卖黎明和2块牛筋</v>
      </c>
      <c r="R130" s="7"/>
      <c r="S130" s="3" t="s">
        <v>490</v>
      </c>
      <c r="T130" s="5" t="str">
        <f ca="1">IFERROR(__xludf.DUMMYFUNCTION("GOOGLETRANSLATE(S130,""ja"",""en"")"),"Takeout Dawn")</f>
        <v>Takeout Dawn</v>
      </c>
      <c r="U130" s="6" t="str">
        <f ca="1">IFERROR(__xludf.DUMMYFUNCTION("GOOGLETRANSLATE(S130,""ja"",""ko"")"),"테이크 아웃 돈")</f>
        <v>테이크 아웃 돈</v>
      </c>
      <c r="V130" s="7" t="str">
        <f ca="1">IFERROR(__xludf.DUMMYFUNCTION("GOOGLETRANSLATE(S130,""ja"",""zh"")"),"外卖黎明")</f>
        <v>外卖黎明</v>
      </c>
      <c r="W130" s="3" t="s">
        <v>437</v>
      </c>
      <c r="X130" s="5" t="str">
        <f ca="1">IFERROR(__xludf.DUMMYFUNCTION("GOOGLETRANSLATE(W130,""ja"",""en"")"),"Sauce")</f>
        <v>Sauce</v>
      </c>
      <c r="Y130" s="6" t="str">
        <f ca="1">IFERROR(__xludf.DUMMYFUNCTION("GOOGLETRANSLATE(W130,""ja"",""ko"")"),"양념")</f>
        <v>양념</v>
      </c>
      <c r="Z130" s="7" t="str">
        <f ca="1">IFERROR(__xludf.DUMMYFUNCTION("GOOGLETRANSLATE(W130,""ja"",""zh"")"),"酱")</f>
        <v>酱</v>
      </c>
      <c r="AA130" s="3" t="s">
        <v>493</v>
      </c>
      <c r="AB130" s="5" t="str">
        <f ca="1">IFERROR(__xludf.DUMMYFUNCTION("GOOGLETRANSLATE(AA130,""ja"",""en"")"),"soy sauce sauce")</f>
        <v>soy sauce sauce</v>
      </c>
      <c r="AC130" s="6" t="str">
        <f ca="1">IFERROR(__xludf.DUMMYFUNCTION("GOOGLETRANSLATE(AA130,""ja"",""ko"")"),"간장 누구")</f>
        <v>간장 누구</v>
      </c>
      <c r="AD130" s="7" t="str">
        <f ca="1">IFERROR(__xludf.DUMMYFUNCTION("GOOGLETRANSLATE(AA130,""ja"",""zh"")"),"酱油 酱油")</f>
        <v>酱油 酱油</v>
      </c>
      <c r="AE130" s="3" t="s">
        <v>438</v>
      </c>
      <c r="AF130" s="5" t="str">
        <f ca="1">IFERROR(__xludf.DUMMYFUNCTION("GOOGLETRANSLATE(AE130,""ja"",""en"")"),"salt sauce")</f>
        <v>salt sauce</v>
      </c>
      <c r="AG130" s="6" t="str">
        <f ca="1">IFERROR(__xludf.DUMMYFUNCTION("GOOGLETRANSLATE(AE130,""ja"",""ko"")"),"소금 누구")</f>
        <v>소금 누구</v>
      </c>
      <c r="AH130" s="7" t="str">
        <f ca="1">IFERROR(__xludf.DUMMYFUNCTION("GOOGLETRANSLATE(AE130,""ja"",""zh"")"),"盐酱")</f>
        <v>盐酱</v>
      </c>
      <c r="AI130" s="2"/>
      <c r="AJ130" s="2"/>
      <c r="AK130" s="2"/>
      <c r="AL130" s="2"/>
      <c r="AM130" s="3"/>
      <c r="AN130" s="5"/>
      <c r="AO130" s="6"/>
      <c r="AP130" s="7"/>
      <c r="AQ130" s="3"/>
      <c r="AR130" s="5"/>
      <c r="AS130" s="6"/>
      <c r="AT130" s="7"/>
      <c r="AU130" s="3"/>
      <c r="AV130" s="5"/>
      <c r="AW130" s="6"/>
      <c r="AX130" s="7"/>
      <c r="AY130" s="2"/>
      <c r="AZ130" s="2"/>
      <c r="BA130" s="2"/>
      <c r="BB130" s="2"/>
      <c r="BC130" s="3"/>
      <c r="BD130" s="5"/>
      <c r="BE130" s="6"/>
      <c r="BF130" s="7"/>
      <c r="BG130" s="3"/>
      <c r="BH130" s="5"/>
      <c r="BI130" s="6"/>
      <c r="BJ130" s="7"/>
      <c r="BK130" s="3"/>
      <c r="BL130" s="5"/>
      <c r="BM130" s="6"/>
      <c r="BN130" s="7"/>
      <c r="BO130" s="2"/>
      <c r="BP130" s="2"/>
      <c r="BQ130" s="2"/>
      <c r="BR130" s="2"/>
    </row>
    <row r="131" spans="2:70" ht="18.75" customHeight="1" x14ac:dyDescent="0.25">
      <c r="B131" s="8" t="s">
        <v>494</v>
      </c>
      <c r="C131" s="3" t="s">
        <v>480</v>
      </c>
      <c r="D131" s="3" t="s">
        <v>173</v>
      </c>
      <c r="E131" s="5" t="s">
        <v>481</v>
      </c>
      <c r="F131" s="5" t="s">
        <v>495</v>
      </c>
      <c r="G131" s="6" t="str">
        <f ca="1">IFERROR(__xludf.DUMMYFUNCTION("GOOGLETRANSLATE(B131,""ja"",""ko"")"),"테이크 아웃 십이째 닭 밥")</f>
        <v>테이크 아웃 십이째 닭 밥</v>
      </c>
      <c r="H131" s="6"/>
      <c r="I131" s="7" t="str">
        <f ca="1">IFERROR(__xludf.DUMMYFUNCTION("GOOGLETRANSLATE(B131,""ja"",""zh"")"),"外卖十二眼鸡饭")</f>
        <v>外卖十二眼鸡饭</v>
      </c>
      <c r="J131" s="7"/>
      <c r="K131" s="3" t="s">
        <v>480</v>
      </c>
      <c r="L131" s="3" t="s">
        <v>173</v>
      </c>
      <c r="M131" s="5" t="s">
        <v>481</v>
      </c>
      <c r="N131" s="5" t="s">
        <v>495</v>
      </c>
      <c r="O131" s="6" t="str">
        <f ca="1">IFERROR(__xludf.DUMMYFUNCTION("GOOGLETRANSLATE(B131,""ja"",""ko"")"),"테이크 아웃 십이째 닭 밥")</f>
        <v>테이크 아웃 십이째 닭 밥</v>
      </c>
      <c r="P131" s="6"/>
      <c r="Q131" s="7" t="str">
        <f ca="1">IFERROR(__xludf.DUMMYFUNCTION("GOOGLETRANSLATE(B131,""ja"",""zh"")"),"外卖十二眼鸡饭")</f>
        <v>外卖十二眼鸡饭</v>
      </c>
      <c r="R131" s="7"/>
      <c r="S131" s="3" t="s">
        <v>496</v>
      </c>
      <c r="T131" s="5" t="str">
        <f ca="1">IFERROR(__xludf.DUMMYFUNCTION("GOOGLETRANSLATE(S131,""ja"",""en"")"),"Takeout twelve-eyed chicken")</f>
        <v>Takeout twelve-eyed chicken</v>
      </c>
      <c r="U131" s="6" t="str">
        <f ca="1">IFERROR(__xludf.DUMMYFUNCTION("GOOGLETRANSLATE(S131,""ja"",""ko"")"),"테이크 아웃 십이째 닭")</f>
        <v>테이크 아웃 십이째 닭</v>
      </c>
      <c r="V131" s="7" t="str">
        <f ca="1">IFERROR(__xludf.DUMMYFUNCTION("GOOGLETRANSLATE(S131,""ja"",""zh"")"),"外卖十二眼鸡")</f>
        <v>外卖十二眼鸡</v>
      </c>
      <c r="W131" s="3"/>
      <c r="X131" s="5"/>
      <c r="Y131" s="6"/>
      <c r="Z131" s="7"/>
      <c r="AA131" s="3"/>
      <c r="AB131" s="5"/>
      <c r="AC131" s="6"/>
      <c r="AD131" s="7"/>
      <c r="AE131" s="3"/>
      <c r="AF131" s="5"/>
      <c r="AG131" s="6"/>
      <c r="AH131" s="7"/>
      <c r="AI131" s="2"/>
      <c r="AJ131" s="2"/>
      <c r="AK131" s="2"/>
      <c r="AL131" s="2"/>
      <c r="AM131" s="3"/>
      <c r="AN131" s="5"/>
      <c r="AO131" s="6"/>
      <c r="AP131" s="7"/>
      <c r="AQ131" s="3"/>
      <c r="AR131" s="5"/>
      <c r="AS131" s="6"/>
      <c r="AT131" s="7"/>
      <c r="AU131" s="3"/>
      <c r="AV131" s="5"/>
      <c r="AW131" s="6"/>
      <c r="AX131" s="7"/>
      <c r="AY131" s="2"/>
      <c r="AZ131" s="2"/>
      <c r="BA131" s="2"/>
      <c r="BB131" s="2"/>
      <c r="BC131" s="3"/>
      <c r="BD131" s="5"/>
      <c r="BE131" s="6"/>
      <c r="BF131" s="7"/>
      <c r="BG131" s="3"/>
      <c r="BH131" s="5"/>
      <c r="BI131" s="6"/>
      <c r="BJ131" s="7"/>
      <c r="BK131" s="3"/>
      <c r="BL131" s="5"/>
      <c r="BM131" s="6"/>
      <c r="BN131" s="7"/>
      <c r="BO131" s="2"/>
      <c r="BP131" s="2"/>
      <c r="BQ131" s="2"/>
      <c r="BR131" s="2"/>
    </row>
    <row r="132" spans="2:70" ht="18.75" customHeight="1" x14ac:dyDescent="0.25">
      <c r="B132" s="8" t="s">
        <v>497</v>
      </c>
      <c r="C132" s="3" t="s">
        <v>497</v>
      </c>
      <c r="D132" s="3"/>
      <c r="E132" s="5" t="s">
        <v>481</v>
      </c>
      <c r="F132" s="5" t="s">
        <v>498</v>
      </c>
      <c r="G132" s="6" t="str">
        <f ca="1">IFERROR(__xludf.DUMMYFUNCTION("GOOGLETRANSLATE(B132,""ja"",""ko"")"),"테이크 아웃 밥")</f>
        <v>테이크 아웃 밥</v>
      </c>
      <c r="H132" s="6"/>
      <c r="I132" s="7" t="str">
        <f ca="1">IFERROR(__xludf.DUMMYFUNCTION("GOOGLETRANSLATE(B132,""ja"",""zh"")"),"外卖餐")</f>
        <v>外卖餐</v>
      </c>
      <c r="J132" s="7"/>
      <c r="K132" s="3" t="s">
        <v>497</v>
      </c>
      <c r="L132" s="3"/>
      <c r="M132" s="5" t="s">
        <v>481</v>
      </c>
      <c r="N132" s="5" t="s">
        <v>498</v>
      </c>
      <c r="O132" s="6" t="str">
        <f ca="1">IFERROR(__xludf.DUMMYFUNCTION("GOOGLETRANSLATE(B132,""ja"",""ko"")"),"테이크 아웃 밥")</f>
        <v>테이크 아웃 밥</v>
      </c>
      <c r="P132" s="6"/>
      <c r="Q132" s="7" t="str">
        <f ca="1">IFERROR(__xludf.DUMMYFUNCTION("GOOGLETRANSLATE(B132,""ja"",""zh"")"),"外卖餐")</f>
        <v>外卖餐</v>
      </c>
      <c r="R132" s="7"/>
      <c r="S132" s="3" t="s">
        <v>497</v>
      </c>
      <c r="T132" s="5" t="str">
        <f ca="1">IFERROR(__xludf.DUMMYFUNCTION("GOOGLETRANSLATE(S132,""ja"",""en"")"),"Take-out meal")</f>
        <v>Take-out meal</v>
      </c>
      <c r="U132" s="6" t="str">
        <f ca="1">IFERROR(__xludf.DUMMYFUNCTION("GOOGLETRANSLATE(S132,""ja"",""ko"")"),"테이크 아웃 밥")</f>
        <v>테이크 아웃 밥</v>
      </c>
      <c r="V132" s="7" t="str">
        <f ca="1">IFERROR(__xludf.DUMMYFUNCTION("GOOGLETRANSLATE(S132,""ja"",""zh"")"),"外卖餐")</f>
        <v>外卖餐</v>
      </c>
      <c r="W132" s="3"/>
      <c r="X132" s="5"/>
      <c r="Y132" s="6"/>
      <c r="Z132" s="7"/>
      <c r="AA132" s="3"/>
      <c r="AB132" s="5"/>
      <c r="AC132" s="6"/>
      <c r="AD132" s="7"/>
      <c r="AE132" s="3"/>
      <c r="AF132" s="5"/>
      <c r="AG132" s="6"/>
      <c r="AH132" s="7"/>
      <c r="AI132" s="2"/>
      <c r="AJ132" s="2"/>
      <c r="AK132" s="2"/>
      <c r="AL132" s="2"/>
      <c r="AM132" s="3"/>
      <c r="AN132" s="5"/>
      <c r="AO132" s="6"/>
      <c r="AP132" s="7"/>
      <c r="AQ132" s="3"/>
      <c r="AR132" s="5"/>
      <c r="AS132" s="6"/>
      <c r="AT132" s="7"/>
      <c r="AU132" s="3"/>
      <c r="AV132" s="5"/>
      <c r="AW132" s="6"/>
      <c r="AX132" s="7"/>
      <c r="AY132" s="2"/>
      <c r="AZ132" s="2"/>
      <c r="BA132" s="2"/>
      <c r="BB132" s="2"/>
      <c r="BC132" s="3"/>
      <c r="BD132" s="5"/>
      <c r="BE132" s="6"/>
      <c r="BF132" s="7"/>
      <c r="BG132" s="3"/>
      <c r="BH132" s="5"/>
      <c r="BI132" s="6"/>
      <c r="BJ132" s="7"/>
      <c r="BK132" s="3"/>
      <c r="BL132" s="5"/>
      <c r="BM132" s="6"/>
      <c r="BN132" s="7"/>
      <c r="BO132" s="2"/>
      <c r="BP132" s="2"/>
      <c r="BQ132" s="2"/>
      <c r="BR132" s="2"/>
    </row>
    <row r="133" spans="2:70" ht="18.75" customHeight="1" x14ac:dyDescent="0.25">
      <c r="B133" s="8" t="s">
        <v>499</v>
      </c>
      <c r="C133" s="3" t="s">
        <v>500</v>
      </c>
      <c r="D133" s="3" t="s">
        <v>501</v>
      </c>
      <c r="E133" s="5" t="s">
        <v>188</v>
      </c>
      <c r="F133" s="5" t="s">
        <v>502</v>
      </c>
      <c r="G133" s="6" t="str">
        <f ca="1">IFERROR(__xludf.DUMMYFUNCTION("GOOGLETRANSLATE(B133,""ja"",""ko"")"),"새우 하늘 푹신한 부카케 블루 노리")</f>
        <v>새우 하늘 푹신한 부카케 블루 노리</v>
      </c>
      <c r="H133" s="6"/>
      <c r="I133" s="7" t="str">
        <f ca="1">IFERROR(__xludf.DUMMYFUNCTION("GOOGLETRANSLATE(B133,""ja"",""zh"")"),"新鲜磨碎的虾天妇罗配颜射绿海藻")</f>
        <v>新鲜磨碎的虾天妇罗配颜射绿海藻</v>
      </c>
      <c r="J133" s="7"/>
      <c r="K133" s="3" t="s">
        <v>500</v>
      </c>
      <c r="L133" s="3" t="s">
        <v>501</v>
      </c>
      <c r="M133" s="5" t="s">
        <v>188</v>
      </c>
      <c r="N133" s="5" t="s">
        <v>502</v>
      </c>
      <c r="O133" s="6" t="str">
        <f ca="1">IFERROR(__xludf.DUMMYFUNCTION("GOOGLETRANSLATE(B133,""ja"",""ko"")"),"새우 하늘 푹신한 부카케 블루 노리")</f>
        <v>새우 하늘 푹신한 부카케 블루 노리</v>
      </c>
      <c r="P133" s="6"/>
      <c r="Q133" s="7" t="str">
        <f ca="1">IFERROR(__xludf.DUMMYFUNCTION("GOOGLETRANSLATE(B133,""ja"",""zh"")"),"新鲜磨碎的虾天妇罗配颜射绿海藻")</f>
        <v>新鲜磨碎的虾天妇罗配颜射绿海藻</v>
      </c>
      <c r="R133" s="7"/>
      <c r="S133" s="3" t="s">
        <v>503</v>
      </c>
      <c r="T133" s="5" t="str">
        <f ca="1">IFERROR(__xludf.DUMMYFUNCTION("GOOGLETRANSLATE(S133,""ja"",""en"")"),"Blue shrimp tempura refreshing")</f>
        <v>Blue shrimp tempura refreshing</v>
      </c>
      <c r="U133" s="6" t="str">
        <f ca="1">IFERROR(__xludf.DUMMYFUNCTION("GOOGLETRANSLATE(S133,""ja"",""ko"")"),"푸른 새우 하늘 깔끔한")</f>
        <v>푸른 새우 하늘 깔끔한</v>
      </c>
      <c r="V133" s="7" t="str">
        <f ca="1">IFERROR(__xludf.DUMMYFUNCTION("GOOGLETRANSLATE(S133,""ja"",""zh"")"),"蓝虾天妇罗清爽")</f>
        <v>蓝虾天妇罗清爽</v>
      </c>
      <c r="W133" s="3"/>
      <c r="X133" s="5"/>
      <c r="Y133" s="6"/>
      <c r="Z133" s="7"/>
      <c r="AA133" s="3"/>
      <c r="AB133" s="5"/>
      <c r="AC133" s="6"/>
      <c r="AD133" s="7"/>
      <c r="AE133" s="3"/>
      <c r="AF133" s="5"/>
      <c r="AG133" s="6"/>
      <c r="AH133" s="7"/>
      <c r="AI133" s="2"/>
      <c r="AJ133" s="2"/>
      <c r="AK133" s="2"/>
      <c r="AL133" s="2"/>
      <c r="AM133" s="3"/>
      <c r="AN133" s="5"/>
      <c r="AO133" s="6"/>
      <c r="AP133" s="7"/>
      <c r="AQ133" s="3"/>
      <c r="AR133" s="5"/>
      <c r="AS133" s="6"/>
      <c r="AT133" s="7"/>
      <c r="AU133" s="3"/>
      <c r="AV133" s="5"/>
      <c r="AW133" s="6"/>
      <c r="AX133" s="7"/>
      <c r="AY133" s="2"/>
      <c r="AZ133" s="2"/>
      <c r="BA133" s="2"/>
      <c r="BB133" s="2"/>
      <c r="BC133" s="3"/>
      <c r="BD133" s="5"/>
      <c r="BE133" s="6"/>
      <c r="BF133" s="7"/>
      <c r="BG133" s="3"/>
      <c r="BH133" s="5"/>
      <c r="BI133" s="6"/>
      <c r="BJ133" s="7"/>
      <c r="BK133" s="3"/>
      <c r="BL133" s="5"/>
      <c r="BM133" s="6"/>
      <c r="BN133" s="7"/>
      <c r="BO133" s="2"/>
      <c r="BP133" s="2"/>
      <c r="BQ133" s="2"/>
      <c r="BR133" s="2"/>
    </row>
    <row r="134" spans="2:70" ht="18.75" customHeight="1" x14ac:dyDescent="0.25">
      <c r="B134" s="8" t="s">
        <v>504</v>
      </c>
      <c r="C134" s="3" t="s">
        <v>505</v>
      </c>
      <c r="D134" s="3" t="s">
        <v>506</v>
      </c>
      <c r="E134" s="5" t="s">
        <v>188</v>
      </c>
      <c r="F134" s="5" t="s">
        <v>507</v>
      </c>
      <c r="G134" s="6" t="str">
        <f ca="1">IFERROR(__xludf.DUMMYFUNCTION("GOOGLETRANSLATE(B134,""ja"",""ko"")"),"새우 하늘 깔끔한 뿌려")</f>
        <v>새우 하늘 깔끔한 뿌려</v>
      </c>
      <c r="H134" s="6"/>
      <c r="I134" s="7" t="str">
        <f ca="1">IFERROR(__xludf.DUMMYFUNCTION("GOOGLETRANSLATE(B134,""ja"",""zh"")"),"虾天妇罗，清爽，特浓颜射")</f>
        <v>虾天妇罗，清爽，特浓颜射</v>
      </c>
      <c r="J134" s="7"/>
      <c r="K134" s="3" t="s">
        <v>505</v>
      </c>
      <c r="L134" s="3" t="s">
        <v>506</v>
      </c>
      <c r="M134" s="5" t="s">
        <v>188</v>
      </c>
      <c r="N134" s="5" t="s">
        <v>507</v>
      </c>
      <c r="O134" s="6" t="str">
        <f ca="1">IFERROR(__xludf.DUMMYFUNCTION("GOOGLETRANSLATE(B134,""ja"",""ko"")"),"새우 하늘 깔끔한 뿌려")</f>
        <v>새우 하늘 깔끔한 뿌려</v>
      </c>
      <c r="P134" s="6"/>
      <c r="Q134" s="7" t="str">
        <f ca="1">IFERROR(__xludf.DUMMYFUNCTION("GOOGLETRANSLATE(B134,""ja"",""zh"")"),"虾天妇罗，清爽，特浓颜射")</f>
        <v>虾天妇罗，清爽，特浓颜射</v>
      </c>
      <c r="R134" s="7"/>
      <c r="S134" s="3" t="s">
        <v>508</v>
      </c>
      <c r="T134" s="5" t="str">
        <f ca="1">IFERROR(__xludf.DUMMYFUNCTION("GOOGLETRANSLATE(S134,""ja"",""en"")"),"Grated fat shrimp")</f>
        <v>Grated fat shrimp</v>
      </c>
      <c r="U134" s="6" t="str">
        <f ca="1">IFERROR(__xludf.DUMMYFUNCTION("GOOGLETRANSLATE(S134,""ja"",""ko"")"),"새우 새싹")</f>
        <v>새우 새싹</v>
      </c>
      <c r="V134" s="7" t="str">
        <f ca="1">IFERROR(__xludf.DUMMYFUNCTION("GOOGLETRANSLATE(S134,""ja"",""zh"")"),"磨碎的肥虾")</f>
        <v>磨碎的肥虾</v>
      </c>
      <c r="W134" s="3"/>
      <c r="X134" s="5"/>
      <c r="Y134" s="6"/>
      <c r="Z134" s="7"/>
      <c r="AA134" s="3"/>
      <c r="AB134" s="5"/>
      <c r="AC134" s="6"/>
      <c r="AD134" s="7"/>
      <c r="AE134" s="3"/>
      <c r="AF134" s="5"/>
      <c r="AG134" s="6"/>
      <c r="AH134" s="7"/>
      <c r="AI134" s="2"/>
      <c r="AJ134" s="2"/>
      <c r="AK134" s="2"/>
      <c r="AL134" s="2"/>
      <c r="AM134" s="3"/>
      <c r="AN134" s="5"/>
      <c r="AO134" s="6"/>
      <c r="AP134" s="7"/>
      <c r="AQ134" s="3"/>
      <c r="AR134" s="5"/>
      <c r="AS134" s="6"/>
      <c r="AT134" s="7"/>
      <c r="AU134" s="3"/>
      <c r="AV134" s="5"/>
      <c r="AW134" s="6"/>
      <c r="AX134" s="7"/>
      <c r="AY134" s="2"/>
      <c r="AZ134" s="2"/>
      <c r="BA134" s="2"/>
      <c r="BB134" s="2"/>
      <c r="BC134" s="3"/>
      <c r="BD134" s="5"/>
      <c r="BE134" s="6"/>
      <c r="BF134" s="7"/>
      <c r="BG134" s="3"/>
      <c r="BH134" s="5"/>
      <c r="BI134" s="6"/>
      <c r="BJ134" s="7"/>
      <c r="BK134" s="3"/>
      <c r="BL134" s="5"/>
      <c r="BM134" s="6"/>
      <c r="BN134" s="7"/>
      <c r="BO134" s="2"/>
      <c r="BP134" s="2"/>
      <c r="BQ134" s="2"/>
      <c r="BR134" s="2"/>
    </row>
    <row r="135" spans="2:70" ht="18.75" customHeight="1" x14ac:dyDescent="0.25">
      <c r="B135" s="8" t="s">
        <v>509</v>
      </c>
      <c r="C135" s="3" t="s">
        <v>510</v>
      </c>
      <c r="D135" s="3" t="s">
        <v>506</v>
      </c>
      <c r="E135" s="5" t="s">
        <v>181</v>
      </c>
      <c r="F135" s="5" t="s">
        <v>507</v>
      </c>
      <c r="G135" s="6" t="str">
        <f ca="1">IFERROR(__xludf.DUMMYFUNCTION("GOOGLETRANSLATE(B135,""ja"",""ko"")"),"토리 텐 상쾌한 뿌려")</f>
        <v>토리 텐 상쾌한 뿌려</v>
      </c>
      <c r="H135" s="6"/>
      <c r="I135" s="7" t="str">
        <f ca="1">IFERROR(__xludf.DUMMYFUNCTION("GOOGLETRANSLATE(B135,""ja"",""zh"")"),"非常厚的鸡肉天妇罗颜射")</f>
        <v>非常厚的鸡肉天妇罗颜射</v>
      </c>
      <c r="J135" s="7"/>
      <c r="K135" s="3" t="s">
        <v>510</v>
      </c>
      <c r="L135" s="3" t="s">
        <v>506</v>
      </c>
      <c r="M135" s="5" t="s">
        <v>181</v>
      </c>
      <c r="N135" s="5" t="s">
        <v>507</v>
      </c>
      <c r="O135" s="6" t="str">
        <f ca="1">IFERROR(__xludf.DUMMYFUNCTION("GOOGLETRANSLATE(B135,""ja"",""ko"")"),"토리 텐 상쾌한 뿌려")</f>
        <v>토리 텐 상쾌한 뿌려</v>
      </c>
      <c r="P135" s="6"/>
      <c r="Q135" s="7" t="str">
        <f ca="1">IFERROR(__xludf.DUMMYFUNCTION("GOOGLETRANSLATE(B135,""ja"",""zh"")"),"非常厚的鸡肉天妇罗颜射")</f>
        <v>非常厚的鸡肉天妇罗颜射</v>
      </c>
      <c r="R135" s="7"/>
      <c r="S135" s="3" t="s">
        <v>511</v>
      </c>
      <c r="T135" s="5" t="str">
        <f ca="1">IFERROR(__xludf.DUMMYFUNCTION("GOOGLETRANSLATE(S135,""ja"",""en"")"),"Thick and refreshing tempura")</f>
        <v>Thick and refreshing tempura</v>
      </c>
      <c r="U135" s="6" t="str">
        <f ca="1">IFERROR(__xludf.DUMMYFUNCTION("GOOGLETRANSLATE(S135,""ja"",""ko"")"),"굵은 하늘이 깔끔하게")</f>
        <v>굵은 하늘이 깔끔하게</v>
      </c>
      <c r="V135" s="7" t="str">
        <f ca="1">IFERROR(__xludf.DUMMYFUNCTION("GOOGLETRANSLATE(S135,""ja"",""zh"")"),"厚实爽口的天妇罗")</f>
        <v>厚实爽口的天妇罗</v>
      </c>
      <c r="W135" s="3"/>
      <c r="X135" s="5"/>
      <c r="Y135" s="6"/>
      <c r="Z135" s="7"/>
      <c r="AA135" s="3"/>
      <c r="AB135" s="5"/>
      <c r="AC135" s="6"/>
      <c r="AD135" s="7"/>
      <c r="AE135" s="3"/>
      <c r="AF135" s="5"/>
      <c r="AG135" s="6"/>
      <c r="AH135" s="7"/>
      <c r="AI135" s="2"/>
      <c r="AJ135" s="2"/>
      <c r="AK135" s="2"/>
      <c r="AL135" s="2"/>
      <c r="AM135" s="3"/>
      <c r="AN135" s="5"/>
      <c r="AO135" s="6"/>
      <c r="AP135" s="7"/>
      <c r="AQ135" s="3"/>
      <c r="AR135" s="5"/>
      <c r="AS135" s="6"/>
      <c r="AT135" s="7"/>
      <c r="AU135" s="3"/>
      <c r="AV135" s="5"/>
      <c r="AW135" s="6"/>
      <c r="AX135" s="7"/>
      <c r="AY135" s="2"/>
      <c r="AZ135" s="2"/>
      <c r="BA135" s="2"/>
      <c r="BB135" s="2"/>
      <c r="BC135" s="3"/>
      <c r="BD135" s="5"/>
      <c r="BE135" s="6"/>
      <c r="BF135" s="7"/>
      <c r="BG135" s="3"/>
      <c r="BH135" s="5"/>
      <c r="BI135" s="6"/>
      <c r="BJ135" s="7"/>
      <c r="BK135" s="3"/>
      <c r="BL135" s="5"/>
      <c r="BM135" s="6"/>
      <c r="BN135" s="7"/>
      <c r="BO135" s="2"/>
      <c r="BP135" s="2"/>
      <c r="BQ135" s="2"/>
      <c r="BR135" s="2"/>
    </row>
    <row r="136" spans="2:70" ht="18.75" customHeight="1" x14ac:dyDescent="0.25">
      <c r="B136" s="8" t="s">
        <v>512</v>
      </c>
      <c r="C136" s="3" t="s">
        <v>510</v>
      </c>
      <c r="D136" s="3" t="s">
        <v>501</v>
      </c>
      <c r="E136" s="5" t="s">
        <v>181</v>
      </c>
      <c r="F136" s="5" t="s">
        <v>502</v>
      </c>
      <c r="G136" s="6" t="str">
        <f ca="1">IFERROR(__xludf.DUMMYFUNCTION("GOOGLETRANSLATE(B136,""ja"",""ko"")"),"토리 텐 상쾌한 부카케 블루 노리")</f>
        <v>토리 텐 상쾌한 부카케 블루 노리</v>
      </c>
      <c r="H136" s="6"/>
      <c r="I136" s="7" t="str">
        <f ca="1">IFERROR(__xludf.DUMMYFUNCTION("GOOGLETRANSLATE(B136,""ja"",""zh"")"),"鸡肉天妇罗配清爽磨碎的颜射绿海藻")</f>
        <v>鸡肉天妇罗配清爽磨碎的颜射绿海藻</v>
      </c>
      <c r="J136" s="7"/>
      <c r="K136" s="3" t="s">
        <v>510</v>
      </c>
      <c r="L136" s="3" t="s">
        <v>501</v>
      </c>
      <c r="M136" s="5" t="s">
        <v>181</v>
      </c>
      <c r="N136" s="5" t="s">
        <v>502</v>
      </c>
      <c r="O136" s="6" t="str">
        <f ca="1">IFERROR(__xludf.DUMMYFUNCTION("GOOGLETRANSLATE(B136,""ja"",""ko"")"),"토리 텐 상쾌한 부카케 블루 노리")</f>
        <v>토리 텐 상쾌한 부카케 블루 노리</v>
      </c>
      <c r="P136" s="6"/>
      <c r="Q136" s="7" t="str">
        <f ca="1">IFERROR(__xludf.DUMMYFUNCTION("GOOGLETRANSLATE(B136,""ja"",""zh"")"),"鸡肉天妇罗配清爽磨碎的颜射绿海藻")</f>
        <v>鸡肉天妇罗配清爽磨碎的颜射绿海藻</v>
      </c>
      <c r="R136" s="7"/>
      <c r="S136" s="3" t="s">
        <v>513</v>
      </c>
      <c r="T136" s="5" t="str">
        <f ca="1">IFERROR(__xludf.DUMMYFUNCTION("GOOGLETRANSLATE(S136,""ja"",""en"")"),"Blue chicken tempura refreshing")</f>
        <v>Blue chicken tempura refreshing</v>
      </c>
      <c r="U136" s="6" t="str">
        <f ca="1">IFERROR(__xludf.DUMMYFUNCTION("GOOGLETRANSLATE(S136,""ja"",""ko"")"),"푸른 토리 천연")</f>
        <v>푸른 토리 천연</v>
      </c>
      <c r="V136" s="7" t="str">
        <f ca="1">IFERROR(__xludf.DUMMYFUNCTION("GOOGLETRANSLATE(S136,""ja"",""zh"")"),"蓝鸡天妇罗清爽")</f>
        <v>蓝鸡天妇罗清爽</v>
      </c>
      <c r="W136" s="3"/>
      <c r="X136" s="5"/>
      <c r="Y136" s="6"/>
      <c r="Z136" s="7"/>
      <c r="AA136" s="3"/>
      <c r="AB136" s="5"/>
      <c r="AC136" s="6"/>
      <c r="AD136" s="7"/>
      <c r="AE136" s="3"/>
      <c r="AF136" s="5"/>
      <c r="AG136" s="6"/>
      <c r="AH136" s="7"/>
      <c r="AI136" s="2"/>
      <c r="AJ136" s="2"/>
      <c r="AK136" s="2"/>
      <c r="AL136" s="2"/>
      <c r="AM136" s="3"/>
      <c r="AN136" s="5"/>
      <c r="AO136" s="6"/>
      <c r="AP136" s="7"/>
      <c r="AQ136" s="3"/>
      <c r="AR136" s="5"/>
      <c r="AS136" s="6"/>
      <c r="AT136" s="7"/>
      <c r="AU136" s="3"/>
      <c r="AV136" s="5"/>
      <c r="AW136" s="6"/>
      <c r="AX136" s="7"/>
      <c r="AY136" s="2"/>
      <c r="AZ136" s="2"/>
      <c r="BA136" s="2"/>
      <c r="BB136" s="2"/>
      <c r="BC136" s="3"/>
      <c r="BD136" s="5"/>
      <c r="BE136" s="6"/>
      <c r="BF136" s="7"/>
      <c r="BG136" s="3"/>
      <c r="BH136" s="5"/>
      <c r="BI136" s="6"/>
      <c r="BJ136" s="7"/>
      <c r="BK136" s="3"/>
      <c r="BL136" s="5"/>
      <c r="BM136" s="6"/>
      <c r="BN136" s="7"/>
      <c r="BO136" s="2"/>
      <c r="BP136" s="2"/>
      <c r="BQ136" s="2"/>
      <c r="BR136" s="2"/>
    </row>
    <row r="137" spans="2:70" ht="18.75" customHeight="1" x14ac:dyDescent="0.25">
      <c r="B137" s="8" t="s">
        <v>514</v>
      </c>
      <c r="C137" s="3" t="s">
        <v>515</v>
      </c>
      <c r="D137" s="3" t="s">
        <v>506</v>
      </c>
      <c r="E137" s="5" t="s">
        <v>263</v>
      </c>
      <c r="F137" s="5" t="s">
        <v>516</v>
      </c>
      <c r="G137" s="6" t="str">
        <f ca="1">IFERROR(__xludf.DUMMYFUNCTION("GOOGLETRANSLATE(B137,""ja"",""ko"")"),"상쾌한 강판 레몬 부카케")</f>
        <v>상쾌한 강판 레몬 부카케</v>
      </c>
      <c r="H137" s="6"/>
      <c r="I137" s="7" t="str">
        <f ca="1">IFERROR(__xludf.DUMMYFUNCTION("GOOGLETRANSLATE(B137,""ja"",""zh"")"),"超厚磨碎的柠檬颜射")</f>
        <v>超厚磨碎的柠檬颜射</v>
      </c>
      <c r="J137" s="7"/>
      <c r="K137" s="3" t="s">
        <v>515</v>
      </c>
      <c r="L137" s="3" t="s">
        <v>506</v>
      </c>
      <c r="M137" s="5" t="s">
        <v>263</v>
      </c>
      <c r="N137" s="5" t="s">
        <v>516</v>
      </c>
      <c r="O137" s="6" t="str">
        <f ca="1">IFERROR(__xludf.DUMMYFUNCTION("GOOGLETRANSLATE(B137,""ja"",""ko"")"),"상쾌한 강판 레몬 부카케")</f>
        <v>상쾌한 강판 레몬 부카케</v>
      </c>
      <c r="P137" s="6"/>
      <c r="Q137" s="7" t="str">
        <f ca="1">IFERROR(__xludf.DUMMYFUNCTION("GOOGLETRANSLATE(B137,""ja"",""zh"")"),"超厚磨碎的柠檬颜射")</f>
        <v>超厚磨碎的柠檬颜射</v>
      </c>
      <c r="R137" s="7"/>
      <c r="S137" s="3" t="s">
        <v>517</v>
      </c>
      <c r="T137" s="5" t="str">
        <f ca="1">IFERROR(__xludf.DUMMYFUNCTION("GOOGLETRANSLATE(S137,""ja"",""en"")"),"Thick and refreshingly grated lemon")</f>
        <v>Thick and refreshingly grated lemon</v>
      </c>
      <c r="U137" s="6" t="str">
        <f ca="1">IFERROR(__xludf.DUMMYFUNCTION("GOOGLETRANSLATE(S137,""ja"",""ko"")"),"굵은 상쾌한 레모")</f>
        <v>굵은 상쾌한 레모</v>
      </c>
      <c r="V137" s="7" t="str">
        <f ca="1">IFERROR(__xludf.DUMMYFUNCTION("GOOGLETRANSLATE(S137,""ja"",""zh"")"),"厚实清爽的柠檬磨碎")</f>
        <v>厚实清爽的柠檬磨碎</v>
      </c>
      <c r="W137" s="3"/>
      <c r="X137" s="5"/>
      <c r="Y137" s="6"/>
      <c r="Z137" s="7"/>
      <c r="AA137" s="3"/>
      <c r="AB137" s="5"/>
      <c r="AC137" s="6"/>
      <c r="AD137" s="7"/>
      <c r="AE137" s="3"/>
      <c r="AF137" s="5"/>
      <c r="AG137" s="6"/>
      <c r="AH137" s="7"/>
      <c r="AI137" s="2"/>
      <c r="AJ137" s="2"/>
      <c r="AK137" s="2"/>
      <c r="AL137" s="2"/>
      <c r="AM137" s="3"/>
      <c r="AN137" s="5"/>
      <c r="AO137" s="6"/>
      <c r="AP137" s="7"/>
      <c r="AQ137" s="3"/>
      <c r="AR137" s="5"/>
      <c r="AS137" s="6"/>
      <c r="AT137" s="7"/>
      <c r="AU137" s="3"/>
      <c r="AV137" s="5"/>
      <c r="AW137" s="6"/>
      <c r="AX137" s="7"/>
      <c r="AY137" s="2"/>
      <c r="AZ137" s="2"/>
      <c r="BA137" s="2"/>
      <c r="BB137" s="2"/>
      <c r="BC137" s="3"/>
      <c r="BD137" s="5"/>
      <c r="BE137" s="6"/>
      <c r="BF137" s="7"/>
      <c r="BG137" s="3"/>
      <c r="BH137" s="5"/>
      <c r="BI137" s="6"/>
      <c r="BJ137" s="7"/>
      <c r="BK137" s="3"/>
      <c r="BL137" s="5"/>
      <c r="BM137" s="6"/>
      <c r="BN137" s="7"/>
      <c r="BO137" s="2"/>
      <c r="BP137" s="2"/>
      <c r="BQ137" s="2"/>
      <c r="BR137" s="2"/>
    </row>
    <row r="138" spans="2:70" ht="18.75" customHeight="1" x14ac:dyDescent="0.25">
      <c r="B138" s="8" t="s">
        <v>518</v>
      </c>
      <c r="C138" s="3" t="s">
        <v>515</v>
      </c>
      <c r="D138" s="3" t="s">
        <v>519</v>
      </c>
      <c r="E138" s="5" t="s">
        <v>396</v>
      </c>
      <c r="F138" s="5" t="s">
        <v>516</v>
      </c>
      <c r="G138" s="6" t="str">
        <f ca="1">IFERROR(__xludf.DUMMYFUNCTION("GOOGLETRANSLATE(B138,""ja"",""ko"")"),"깔끔한 강판 레몬 블루 리우동")</f>
        <v>깔끔한 강판 레몬 블루 리우동</v>
      </c>
      <c r="H138" s="6"/>
      <c r="I138" s="7" t="str">
        <f ca="1">IFERROR(__xludf.DUMMYFUNCTION("GOOGLETRANSLATE(B138,""ja"",""zh"")"),"清爽磨碎的柠檬绿海藻乌冬面")</f>
        <v>清爽磨碎的柠檬绿海藻乌冬面</v>
      </c>
      <c r="J138" s="7"/>
      <c r="K138" s="3" t="s">
        <v>515</v>
      </c>
      <c r="L138" s="3" t="s">
        <v>519</v>
      </c>
      <c r="M138" s="5" t="s">
        <v>396</v>
      </c>
      <c r="N138" s="5" t="s">
        <v>516</v>
      </c>
      <c r="O138" s="6" t="str">
        <f ca="1">IFERROR(__xludf.DUMMYFUNCTION("GOOGLETRANSLATE(B138,""ja"",""ko"")"),"깔끔한 강판 레몬 블루 리우동")</f>
        <v>깔끔한 강판 레몬 블루 리우동</v>
      </c>
      <c r="P138" s="6"/>
      <c r="Q138" s="7" t="str">
        <f ca="1">IFERROR(__xludf.DUMMYFUNCTION("GOOGLETRANSLATE(B138,""ja"",""zh"")"),"清爽磨碎的柠檬绿海藻乌冬面")</f>
        <v>清爽磨碎的柠檬绿海藻乌冬面</v>
      </c>
      <c r="R138" s="7"/>
      <c r="S138" s="3" t="s">
        <v>520</v>
      </c>
      <c r="T138" s="5" t="str">
        <f ca="1">IFERROR(__xludf.DUMMYFUNCTION("GOOGLETRANSLATE(S138,""ja"",""en"")"),"Blue refreshing grated lemon")</f>
        <v>Blue refreshing grated lemon</v>
      </c>
      <c r="U138" s="6" t="str">
        <f ca="1">IFERROR(__xludf.DUMMYFUNCTION("GOOGLETRANSLATE(S138,""ja"",""ko"")"),"블루 상쾌한 레모")</f>
        <v>블루 상쾌한 레모</v>
      </c>
      <c r="V138" s="7" t="str">
        <f ca="1">IFERROR(__xludf.DUMMYFUNCTION("GOOGLETRANSLATE(S138,""ja"",""zh"")"),"蓝色清爽磨碎的柠檬")</f>
        <v>蓝色清爽磨碎的柠檬</v>
      </c>
      <c r="W138" s="3"/>
      <c r="X138" s="5"/>
      <c r="Y138" s="6"/>
      <c r="Z138" s="7"/>
      <c r="AA138" s="3"/>
      <c r="AB138" s="5"/>
      <c r="AC138" s="6"/>
      <c r="AD138" s="7"/>
      <c r="AE138" s="3"/>
      <c r="AF138" s="5"/>
      <c r="AG138" s="6"/>
      <c r="AH138" s="7"/>
      <c r="AI138" s="2"/>
      <c r="AJ138" s="2"/>
      <c r="AK138" s="2"/>
      <c r="AL138" s="2"/>
      <c r="AM138" s="3"/>
      <c r="AN138" s="5"/>
      <c r="AO138" s="6"/>
      <c r="AP138" s="7"/>
      <c r="AQ138" s="3"/>
      <c r="AR138" s="5"/>
      <c r="AS138" s="6"/>
      <c r="AT138" s="7"/>
      <c r="AU138" s="3"/>
      <c r="AV138" s="5"/>
      <c r="AW138" s="6"/>
      <c r="AX138" s="7"/>
      <c r="AY138" s="2"/>
      <c r="AZ138" s="2"/>
      <c r="BA138" s="2"/>
      <c r="BB138" s="2"/>
      <c r="BC138" s="3"/>
      <c r="BD138" s="5"/>
      <c r="BE138" s="6"/>
      <c r="BF138" s="7"/>
      <c r="BG138" s="3"/>
      <c r="BH138" s="5"/>
      <c r="BI138" s="6"/>
      <c r="BJ138" s="7"/>
      <c r="BK138" s="3"/>
      <c r="BL138" s="5"/>
      <c r="BM138" s="6"/>
      <c r="BN138" s="7"/>
      <c r="BO138" s="2"/>
      <c r="BP138" s="2"/>
      <c r="BQ138" s="2"/>
      <c r="BR138" s="2"/>
    </row>
    <row r="139" spans="2:70" ht="18.75" customHeight="1" x14ac:dyDescent="0.25">
      <c r="B139" s="8" t="s">
        <v>521</v>
      </c>
      <c r="C139" s="3" t="s">
        <v>522</v>
      </c>
      <c r="D139" s="3" t="s">
        <v>523</v>
      </c>
      <c r="E139" s="11" t="s">
        <v>481</v>
      </c>
      <c r="F139" s="5" t="s">
        <v>507</v>
      </c>
      <c r="G139" s="6" t="str">
        <f ca="1">IFERROR(__xludf.DUMMYFUNCTION("GOOGLETRANSLATE(B139,""ja"",""ko"")"),"테이크 아웃 깔끔한 레몬 레몬")</f>
        <v>테이크 아웃 깔끔한 레몬 레몬</v>
      </c>
      <c r="H139" s="6"/>
      <c r="I139" s="7" t="str">
        <f ca="1">IFERROR(__xludf.DUMMYFUNCTION("GOOGLETRANSLATE(B139,""ja"",""zh"")"),"外卖清爽磨碎柠檬特厚")</f>
        <v>外卖清爽磨碎柠檬特厚</v>
      </c>
      <c r="J139" s="7"/>
      <c r="K139" s="3" t="s">
        <v>522</v>
      </c>
      <c r="L139" s="3" t="s">
        <v>523</v>
      </c>
      <c r="M139" s="11" t="s">
        <v>481</v>
      </c>
      <c r="N139" s="5" t="s">
        <v>507</v>
      </c>
      <c r="O139" s="6" t="str">
        <f ca="1">IFERROR(__xludf.DUMMYFUNCTION("GOOGLETRANSLATE(B139,""ja"",""ko"")"),"테이크 아웃 깔끔한 레몬 레몬")</f>
        <v>테이크 아웃 깔끔한 레몬 레몬</v>
      </c>
      <c r="P139" s="6"/>
      <c r="Q139" s="7" t="str">
        <f ca="1">IFERROR(__xludf.DUMMYFUNCTION("GOOGLETRANSLATE(B139,""ja"",""zh"")"),"外卖清爽磨碎柠檬特厚")</f>
        <v>外卖清爽磨碎柠檬特厚</v>
      </c>
      <c r="R139" s="7"/>
      <c r="S139" s="3" t="s">
        <v>524</v>
      </c>
      <c r="T139" s="5" t="str">
        <f ca="1">IFERROR(__xludf.DUMMYFUNCTION("GOOGLETRANSLATE(S139,""ja"",""en"")"),"TO Thick Refreshing")</f>
        <v>TO Thick Refreshing</v>
      </c>
      <c r="U139" s="6" t="str">
        <f ca="1">IFERROR(__xludf.DUMMYFUNCTION("GOOGLETRANSLATE(S139,""ja"",""ko"")"),"TO 태 깔끔한")</f>
        <v>TO 태 깔끔한</v>
      </c>
      <c r="V139" s="7" t="str">
        <f ca="1">IFERROR(__xludf.DUMMYFUNCTION("GOOGLETRANSLATE(S139,""ja"",""zh"")"),"TO 浓稠清爽")</f>
        <v>TO 浓稠清爽</v>
      </c>
      <c r="W139" s="3"/>
      <c r="X139" s="5"/>
      <c r="Y139" s="6"/>
      <c r="Z139" s="7"/>
      <c r="AA139" s="3"/>
      <c r="AB139" s="5"/>
      <c r="AC139" s="6"/>
      <c r="AD139" s="7"/>
      <c r="AE139" s="3"/>
      <c r="AF139" s="5"/>
      <c r="AG139" s="6"/>
      <c r="AH139" s="7"/>
      <c r="AI139" s="2"/>
      <c r="AJ139" s="2"/>
      <c r="AK139" s="2"/>
      <c r="AL139" s="2"/>
      <c r="AM139" s="3"/>
      <c r="AN139" s="5"/>
      <c r="AO139" s="6"/>
      <c r="AP139" s="7"/>
      <c r="AQ139" s="3"/>
      <c r="AR139" s="5"/>
      <c r="AS139" s="6"/>
      <c r="AT139" s="7"/>
      <c r="AU139" s="3"/>
      <c r="AV139" s="5"/>
      <c r="AW139" s="6"/>
      <c r="AX139" s="7"/>
      <c r="AY139" s="2"/>
      <c r="AZ139" s="2"/>
      <c r="BA139" s="2"/>
      <c r="BB139" s="2"/>
      <c r="BC139" s="3"/>
      <c r="BD139" s="5"/>
      <c r="BE139" s="6"/>
      <c r="BF139" s="7"/>
      <c r="BG139" s="3"/>
      <c r="BH139" s="5"/>
      <c r="BI139" s="6"/>
      <c r="BJ139" s="7"/>
      <c r="BK139" s="3"/>
      <c r="BL139" s="5"/>
      <c r="BM139" s="6"/>
      <c r="BN139" s="7"/>
      <c r="BO139" s="2"/>
      <c r="BP139" s="2"/>
      <c r="BQ139" s="2"/>
      <c r="BR139" s="2"/>
    </row>
    <row r="140" spans="2:70" ht="18.75" customHeight="1" x14ac:dyDescent="0.25">
      <c r="B140" s="8" t="s">
        <v>525</v>
      </c>
      <c r="C140" s="3" t="s">
        <v>526</v>
      </c>
      <c r="D140" s="3" t="s">
        <v>527</v>
      </c>
      <c r="E140" s="11" t="s">
        <v>481</v>
      </c>
      <c r="F140" s="5" t="s">
        <v>396</v>
      </c>
      <c r="G140" s="6" t="str">
        <f ca="1">IFERROR(__xludf.DUMMYFUNCTION("GOOGLETRANSLATE(B140,""ja"",""ko"")"),"테이크 아웃 깔끔한 레몬 레몬")</f>
        <v>테이크 아웃 깔끔한 레몬 레몬</v>
      </c>
      <c r="H140" s="6"/>
      <c r="I140" s="7" t="str">
        <f ca="1">IFERROR(__xludf.DUMMYFUNCTION("GOOGLETRANSLATE(B140,""ja"",""zh"")"),"外卖清爽磨碎的柠檬绿海藻")</f>
        <v>外卖清爽磨碎的柠檬绿海藻</v>
      </c>
      <c r="J140" s="7"/>
      <c r="K140" s="3" t="s">
        <v>526</v>
      </c>
      <c r="L140" s="3" t="s">
        <v>527</v>
      </c>
      <c r="M140" s="11" t="s">
        <v>481</v>
      </c>
      <c r="N140" s="5" t="s">
        <v>396</v>
      </c>
      <c r="O140" s="6" t="str">
        <f ca="1">IFERROR(__xludf.DUMMYFUNCTION("GOOGLETRANSLATE(B140,""ja"",""ko"")"),"테이크 아웃 깔끔한 레몬 레몬")</f>
        <v>테이크 아웃 깔끔한 레몬 레몬</v>
      </c>
      <c r="P140" s="6"/>
      <c r="Q140" s="7" t="str">
        <f ca="1">IFERROR(__xludf.DUMMYFUNCTION("GOOGLETRANSLATE(B140,""ja"",""zh"")"),"外卖清爽磨碎的柠檬绿海藻")</f>
        <v>外卖清爽磨碎的柠檬绿海藻</v>
      </c>
      <c r="R140" s="7"/>
      <c r="S140" s="3" t="s">
        <v>528</v>
      </c>
      <c r="T140" s="5" t="str">
        <f ca="1">IFERROR(__xludf.DUMMYFUNCTION("GOOGLETRANSLATE(S140,""ja"",""en"")"),"TO Blue Refreshing")</f>
        <v>TO Blue Refreshing</v>
      </c>
      <c r="U140" s="6" t="str">
        <f ca="1">IFERROR(__xludf.DUMMYFUNCTION("GOOGLETRANSLATE(S140,""ja"",""ko"")"),"TO 블루 깔끔한")</f>
        <v>TO 블루 깔끔한</v>
      </c>
      <c r="V140" s="7" t="str">
        <f ca="1">IFERROR(__xludf.DUMMYFUNCTION("GOOGLETRANSLATE(S140,""ja"",""zh"")"),"TO 蓝色 清爽")</f>
        <v>TO 蓝色 清爽</v>
      </c>
      <c r="W140" s="3"/>
      <c r="X140" s="5"/>
      <c r="Y140" s="6"/>
      <c r="Z140" s="7"/>
      <c r="AA140" s="3"/>
      <c r="AB140" s="5"/>
      <c r="AC140" s="6"/>
      <c r="AD140" s="7"/>
      <c r="AE140" s="3"/>
      <c r="AF140" s="5"/>
      <c r="AG140" s="6"/>
      <c r="AH140" s="7"/>
      <c r="AI140" s="2"/>
      <c r="AJ140" s="2"/>
      <c r="AK140" s="2"/>
      <c r="AL140" s="2"/>
      <c r="AM140" s="3"/>
      <c r="AN140" s="5"/>
      <c r="AO140" s="6"/>
      <c r="AP140" s="7"/>
      <c r="AQ140" s="3"/>
      <c r="AR140" s="5"/>
      <c r="AS140" s="6"/>
      <c r="AT140" s="7"/>
      <c r="AU140" s="3"/>
      <c r="AV140" s="5"/>
      <c r="AW140" s="6"/>
      <c r="AX140" s="7"/>
      <c r="AY140" s="2"/>
      <c r="AZ140" s="2"/>
      <c r="BA140" s="2"/>
      <c r="BB140" s="2"/>
      <c r="BC140" s="3"/>
      <c r="BD140" s="5"/>
      <c r="BE140" s="6"/>
      <c r="BF140" s="7"/>
      <c r="BG140" s="3"/>
      <c r="BH140" s="5"/>
      <c r="BI140" s="6"/>
      <c r="BJ140" s="7"/>
      <c r="BK140" s="3"/>
      <c r="BL140" s="5"/>
      <c r="BM140" s="6"/>
      <c r="BN140" s="7"/>
      <c r="BO140" s="2"/>
      <c r="BP140" s="2"/>
      <c r="BQ140" s="2"/>
      <c r="BR140" s="2"/>
    </row>
    <row r="141" spans="2:70" ht="18.75" customHeight="1" x14ac:dyDescent="0.25">
      <c r="B141" s="8" t="s">
        <v>529</v>
      </c>
      <c r="C141" s="3" t="s">
        <v>530</v>
      </c>
      <c r="D141" s="3" t="s">
        <v>531</v>
      </c>
      <c r="E141" s="12" t="s">
        <v>532</v>
      </c>
      <c r="F141" s="5"/>
      <c r="G141" s="6" t="str">
        <f ca="1">IFERROR(__xludf.DUMMYFUNCTION("GOOGLETRANSLATE(B141,""ja"",""ko"")"),"기린논 알코올 맥주")</f>
        <v>기린논 알코올 맥주</v>
      </c>
      <c r="H141" s="6"/>
      <c r="I141" s="7" t="str">
        <f ca="1">IFERROR(__xludf.DUMMYFUNCTION("GOOGLETRANSLATE(B141,""ja"",""zh"")"),"麒麟无醇啤酒")</f>
        <v>麒麟无醇啤酒</v>
      </c>
      <c r="J141" s="7"/>
      <c r="K141" s="3" t="s">
        <v>530</v>
      </c>
      <c r="L141" s="3" t="s">
        <v>531</v>
      </c>
      <c r="M141" s="12" t="s">
        <v>532</v>
      </c>
      <c r="N141" s="5"/>
      <c r="O141" s="6" t="str">
        <f ca="1">IFERROR(__xludf.DUMMYFUNCTION("GOOGLETRANSLATE(B141,""ja"",""ko"")"),"기린논 알코올 맥주")</f>
        <v>기린논 알코올 맥주</v>
      </c>
      <c r="P141" s="6"/>
      <c r="Q141" s="7" t="str">
        <f ca="1">IFERROR(__xludf.DUMMYFUNCTION("GOOGLETRANSLATE(B141,""ja"",""zh"")"),"麒麟无醇啤酒")</f>
        <v>麒麟无醇啤酒</v>
      </c>
      <c r="R141" s="7"/>
      <c r="S141" s="3" t="s">
        <v>533</v>
      </c>
      <c r="T141" s="5" t="str">
        <f ca="1">IFERROR(__xludf.DUMMYFUNCTION("GOOGLETRANSLATE(S141,""ja"",""en"")"),"giraffe non-alcoholic")</f>
        <v>giraffe non-alcoholic</v>
      </c>
      <c r="U141" s="6" t="str">
        <f ca="1">IFERROR(__xludf.DUMMYFUNCTION("GOOGLETRANSLATE(S141,""ja"",""ko"")"),"기린논 알코올")</f>
        <v>기린논 알코올</v>
      </c>
      <c r="V141" s="7" t="str">
        <f ca="1">IFERROR(__xludf.DUMMYFUNCTION("GOOGLETRANSLATE(S141,""ja"",""zh"")"),"长颈鹿不含酒精")</f>
        <v>长颈鹿不含酒精</v>
      </c>
      <c r="W141" s="3"/>
      <c r="X141" s="5"/>
      <c r="Y141" s="6"/>
      <c r="Z141" s="7"/>
      <c r="AA141" s="3"/>
      <c r="AB141" s="5"/>
      <c r="AC141" s="6"/>
      <c r="AD141" s="7"/>
      <c r="AE141" s="3"/>
      <c r="AF141" s="5"/>
      <c r="AG141" s="6"/>
      <c r="AH141" s="7"/>
      <c r="AI141" s="2"/>
      <c r="AJ141" s="2"/>
      <c r="AK141" s="2"/>
      <c r="AL141" s="2"/>
      <c r="AM141" s="3"/>
      <c r="AN141" s="5"/>
      <c r="AO141" s="6"/>
      <c r="AP141" s="7"/>
      <c r="AQ141" s="3"/>
      <c r="AR141" s="5"/>
      <c r="AS141" s="6"/>
      <c r="AT141" s="7"/>
      <c r="AU141" s="3"/>
      <c r="AV141" s="5"/>
      <c r="AW141" s="6"/>
      <c r="AX141" s="7"/>
      <c r="AY141" s="2"/>
      <c r="AZ141" s="2"/>
      <c r="BA141" s="2"/>
      <c r="BB141" s="2"/>
      <c r="BC141" s="3"/>
      <c r="BD141" s="5"/>
      <c r="BE141" s="6"/>
      <c r="BF141" s="7"/>
      <c r="BG141" s="3"/>
      <c r="BH141" s="5"/>
      <c r="BI141" s="6"/>
      <c r="BJ141" s="7"/>
      <c r="BK141" s="3"/>
      <c r="BL141" s="5"/>
      <c r="BM141" s="6"/>
      <c r="BN141" s="7"/>
      <c r="BO141" s="2"/>
      <c r="BP141" s="2"/>
      <c r="BQ141" s="2"/>
      <c r="BR141" s="2"/>
    </row>
    <row r="142" spans="2:70" ht="18.75" customHeight="1" x14ac:dyDescent="0.25">
      <c r="B142" s="8" t="s">
        <v>534</v>
      </c>
      <c r="C142" s="3" t="s">
        <v>124</v>
      </c>
      <c r="D142" s="3" t="s">
        <v>243</v>
      </c>
      <c r="E142" s="5" t="s">
        <v>263</v>
      </c>
      <c r="F142" s="5" t="s">
        <v>118</v>
      </c>
      <c r="G142" s="6" t="str">
        <f ca="1">IFERROR(__xludf.DUMMYFUNCTION("GOOGLETRANSLATE(B142,""ja"",""ko"")"),"극단 타타미 키츠네 부카케")</f>
        <v>극단 타타미 키츠네 부카케</v>
      </c>
      <c r="H142" s="6"/>
      <c r="I142" s="7" t="str">
        <f ca="1">IFERROR(__xludf.DUMMYFUNCTION("GOOGLETRANSLATE(B142,""ja"",""zh"")"),"超厚榻榻米狐狸颜射")</f>
        <v>超厚榻榻米狐狸颜射</v>
      </c>
      <c r="J142" s="7"/>
      <c r="K142" s="3" t="s">
        <v>124</v>
      </c>
      <c r="L142" s="3" t="s">
        <v>243</v>
      </c>
      <c r="M142" s="5" t="s">
        <v>263</v>
      </c>
      <c r="N142" s="5" t="s">
        <v>118</v>
      </c>
      <c r="O142" s="6" t="str">
        <f ca="1">IFERROR(__xludf.DUMMYFUNCTION("GOOGLETRANSLATE(B142,""ja"",""ko"")"),"극단 타타미 키츠네 부카케")</f>
        <v>극단 타타미 키츠네 부카케</v>
      </c>
      <c r="P142" s="6"/>
      <c r="Q142" s="7" t="str">
        <f ca="1">IFERROR(__xludf.DUMMYFUNCTION("GOOGLETRANSLATE(B142,""ja"",""zh"")"),"超厚榻榻米狐狸颜射")</f>
        <v>超厚榻榻米狐狸颜射</v>
      </c>
      <c r="R142" s="7"/>
      <c r="S142" s="3" t="s">
        <v>535</v>
      </c>
      <c r="T142" s="5" t="str">
        <f ca="1">IFERROR(__xludf.DUMMYFUNCTION("GOOGLETRANSLATE(S142,""ja"",""en"")"),"Thick fox bukkake")</f>
        <v>Thick fox bukkake</v>
      </c>
      <c r="U142" s="6" t="str">
        <f ca="1">IFERROR(__xludf.DUMMYFUNCTION("GOOGLETRANSLATE(S142,""ja"",""ko"")"),"굿")</f>
        <v>굿</v>
      </c>
      <c r="V142" s="7" t="str">
        <f ca="1">IFERROR(__xludf.DUMMYFUNCTION("GOOGLETRANSLATE(S142,""ja"",""zh"")"),"厚狐狸颜射")</f>
        <v>厚狐狸颜射</v>
      </c>
      <c r="W142" s="3"/>
      <c r="X142" s="5"/>
      <c r="Y142" s="6"/>
      <c r="Z142" s="7"/>
      <c r="AA142" s="3"/>
      <c r="AB142" s="5"/>
      <c r="AC142" s="6"/>
      <c r="AD142" s="7"/>
      <c r="AE142" s="3"/>
      <c r="AF142" s="5"/>
      <c r="AG142" s="6"/>
      <c r="AH142" s="7"/>
      <c r="AI142" s="2"/>
      <c r="AJ142" s="2"/>
      <c r="AK142" s="2"/>
      <c r="AL142" s="2"/>
      <c r="AM142" s="3"/>
      <c r="AN142" s="5"/>
      <c r="AO142" s="6"/>
      <c r="AP142" s="7"/>
      <c r="AQ142" s="3"/>
      <c r="AR142" s="5"/>
      <c r="AS142" s="6"/>
      <c r="AT142" s="7"/>
      <c r="AU142" s="3"/>
      <c r="AV142" s="5"/>
      <c r="AW142" s="6"/>
      <c r="AX142" s="7"/>
      <c r="AY142" s="2"/>
      <c r="AZ142" s="2"/>
      <c r="BA142" s="2"/>
      <c r="BB142" s="2"/>
      <c r="BC142" s="3"/>
      <c r="BD142" s="5"/>
      <c r="BE142" s="6"/>
      <c r="BF142" s="7"/>
      <c r="BG142" s="3"/>
      <c r="BH142" s="5"/>
      <c r="BI142" s="6"/>
      <c r="BJ142" s="7"/>
      <c r="BK142" s="3"/>
      <c r="BL142" s="5"/>
      <c r="BM142" s="6"/>
      <c r="BN142" s="7"/>
      <c r="BO142" s="2"/>
      <c r="BP142" s="2"/>
      <c r="BQ142" s="2"/>
      <c r="BR142" s="2"/>
    </row>
    <row r="143" spans="2:70" ht="18.75" customHeight="1" x14ac:dyDescent="0.25">
      <c r="B143" s="8" t="s">
        <v>536</v>
      </c>
      <c r="C143" s="3" t="s">
        <v>129</v>
      </c>
      <c r="D143" s="3" t="s">
        <v>410</v>
      </c>
      <c r="E143" s="5" t="s">
        <v>537</v>
      </c>
      <c r="F143" s="5" t="s">
        <v>118</v>
      </c>
      <c r="G143" s="6" t="str">
        <f ca="1">IFERROR(__xludf.DUMMYFUNCTION("GOOGLETRANSLATE(B143,""ja"",""ko"")"),"블루 노리 타타미 키츠네 부카케")</f>
        <v>블루 노리 타타미 키츠네 부카케</v>
      </c>
      <c r="H143" s="6"/>
      <c r="I143" s="7" t="str">
        <f ca="1">IFERROR(__xludf.DUMMYFUNCTION("GOOGLETRANSLATE(B143,""ja"",""zh"")"),"青典 榻榻米狐 颜射")</f>
        <v>青典 榻榻米狐 颜射</v>
      </c>
      <c r="J143" s="7"/>
      <c r="K143" s="3" t="s">
        <v>129</v>
      </c>
      <c r="L143" s="3" t="s">
        <v>410</v>
      </c>
      <c r="M143" s="5" t="s">
        <v>537</v>
      </c>
      <c r="N143" s="5" t="s">
        <v>118</v>
      </c>
      <c r="O143" s="6" t="str">
        <f ca="1">IFERROR(__xludf.DUMMYFUNCTION("GOOGLETRANSLATE(B143,""ja"",""ko"")"),"블루 노리 타타미 키츠네 부카케")</f>
        <v>블루 노리 타타미 키츠네 부카케</v>
      </c>
      <c r="P143" s="6"/>
      <c r="Q143" s="7" t="str">
        <f ca="1">IFERROR(__xludf.DUMMYFUNCTION("GOOGLETRANSLATE(B143,""ja"",""zh"")"),"青典 榻榻米狐 颜射")</f>
        <v>青典 榻榻米狐 颜射</v>
      </c>
      <c r="R143" s="7"/>
      <c r="S143" s="3" t="s">
        <v>538</v>
      </c>
      <c r="T143" s="5" t="str">
        <f ca="1">IFERROR(__xludf.DUMMYFUNCTION("GOOGLETRANSLATE(S143,""ja"",""en"")"),"Blue fox bukkake")</f>
        <v>Blue fox bukkake</v>
      </c>
      <c r="U143" s="6" t="str">
        <f ca="1">IFERROR(__xludf.DUMMYFUNCTION("GOOGLETRANSLATE(S143,""ja"",""ko"")"),"블루 키츠네 부카케")</f>
        <v>블루 키츠네 부카케</v>
      </c>
      <c r="V143" s="7" t="str">
        <f ca="1">IFERROR(__xludf.DUMMYFUNCTION("GOOGLETRANSLATE(S143,""ja"",""zh"")"),"蓝狐颜射")</f>
        <v>蓝狐颜射</v>
      </c>
      <c r="W143" s="3"/>
      <c r="X143" s="5"/>
      <c r="Y143" s="6"/>
      <c r="Z143" s="7"/>
      <c r="AA143" s="3"/>
      <c r="AB143" s="5"/>
      <c r="AC143" s="6"/>
      <c r="AD143" s="7"/>
      <c r="AE143" s="3"/>
      <c r="AF143" s="5"/>
      <c r="AG143" s="6"/>
      <c r="AH143" s="7"/>
      <c r="AI143" s="2"/>
      <c r="AJ143" s="2"/>
      <c r="AK143" s="2"/>
      <c r="AL143" s="2"/>
      <c r="AM143" s="3"/>
      <c r="AN143" s="5"/>
      <c r="AO143" s="6"/>
      <c r="AP143" s="7"/>
      <c r="AQ143" s="3"/>
      <c r="AR143" s="5"/>
      <c r="AS143" s="6"/>
      <c r="AT143" s="7"/>
      <c r="AU143" s="3"/>
      <c r="AV143" s="5"/>
      <c r="AW143" s="6"/>
      <c r="AX143" s="7"/>
      <c r="AY143" s="2"/>
      <c r="AZ143" s="2"/>
      <c r="BA143" s="2"/>
      <c r="BB143" s="2"/>
      <c r="BC143" s="3"/>
      <c r="BD143" s="5"/>
      <c r="BE143" s="6"/>
      <c r="BF143" s="7"/>
      <c r="BG143" s="3"/>
      <c r="BH143" s="5"/>
      <c r="BI143" s="6"/>
      <c r="BJ143" s="7"/>
      <c r="BK143" s="3"/>
      <c r="BL143" s="5"/>
      <c r="BM143" s="6"/>
      <c r="BN143" s="7"/>
      <c r="BO143" s="2"/>
      <c r="BP143" s="2"/>
      <c r="BQ143" s="2"/>
      <c r="BR143" s="2"/>
    </row>
    <row r="144" spans="2:70" ht="18.75" customHeight="1" x14ac:dyDescent="0.25">
      <c r="B144" s="8" t="s">
        <v>539</v>
      </c>
      <c r="C144" s="3" t="s">
        <v>539</v>
      </c>
      <c r="D144" s="3"/>
      <c r="E144" s="5" t="str">
        <f ca="1">IFERROR(__xludf.DUMMYFUNCTION("GOOGLETRANSLATE(B144,""ja"",""en"")"),"croquette")</f>
        <v>croquette</v>
      </c>
      <c r="F144" s="5"/>
      <c r="G144" s="6" t="str">
        <f ca="1">IFERROR(__xludf.DUMMYFUNCTION("GOOGLETRANSLATE(B144,""ja"",""ko"")"),"고로케")</f>
        <v>고로케</v>
      </c>
      <c r="H144" s="6"/>
      <c r="I144" s="7" t="str">
        <f ca="1">IFERROR(__xludf.DUMMYFUNCTION("GOOGLETRANSLATE(B144,""ja"",""zh"")"),"炸丸子")</f>
        <v>炸丸子</v>
      </c>
      <c r="J144" s="7"/>
      <c r="K144" s="3" t="s">
        <v>539</v>
      </c>
      <c r="L144" s="3"/>
      <c r="M144" s="5" t="str">
        <f ca="1">IFERROR(__xludf.DUMMYFUNCTION("GOOGLETRANSLATE(J144,""ja"",""en"")"),"#VALUE!")</f>
        <v>#VALUE!</v>
      </c>
      <c r="N144" s="5"/>
      <c r="O144" s="6" t="str">
        <f ca="1">IFERROR(__xludf.DUMMYFUNCTION("GOOGLETRANSLATE(B144,""ja"",""ko"")"),"고로케")</f>
        <v>고로케</v>
      </c>
      <c r="P144" s="6"/>
      <c r="Q144" s="7" t="str">
        <f ca="1">IFERROR(__xludf.DUMMYFUNCTION("GOOGLETRANSLATE(B144,""ja"",""zh"")"),"炸丸子")</f>
        <v>炸丸子</v>
      </c>
      <c r="R144" s="7"/>
      <c r="S144" s="3" t="s">
        <v>539</v>
      </c>
      <c r="T144" s="5" t="str">
        <f ca="1">IFERROR(__xludf.DUMMYFUNCTION("GOOGLETRANSLATE(S144,""ja"",""en"")"),"croquette")</f>
        <v>croquette</v>
      </c>
      <c r="U144" s="6" t="str">
        <f ca="1">IFERROR(__xludf.DUMMYFUNCTION("GOOGLETRANSLATE(S144,""ja"",""ko"")"),"고로케")</f>
        <v>고로케</v>
      </c>
      <c r="V144" s="7" t="str">
        <f ca="1">IFERROR(__xludf.DUMMYFUNCTION("GOOGLETRANSLATE(S144,""ja"",""zh"")"),"炸丸子")</f>
        <v>炸丸子</v>
      </c>
      <c r="W144" s="3"/>
      <c r="X144" s="5"/>
      <c r="Y144" s="6"/>
      <c r="Z144" s="7"/>
      <c r="AA144" s="3"/>
      <c r="AB144" s="5"/>
      <c r="AC144" s="6"/>
      <c r="AD144" s="7"/>
      <c r="AE144" s="3"/>
      <c r="AF144" s="5"/>
      <c r="AG144" s="6"/>
      <c r="AH144" s="7"/>
      <c r="AI144" s="2"/>
      <c r="AJ144" s="2"/>
      <c r="AK144" s="2"/>
      <c r="AL144" s="2"/>
      <c r="AM144" s="3"/>
      <c r="AN144" s="5"/>
      <c r="AO144" s="6"/>
      <c r="AP144" s="7"/>
      <c r="AQ144" s="3"/>
      <c r="AR144" s="5"/>
      <c r="AS144" s="6"/>
      <c r="AT144" s="7"/>
      <c r="AU144" s="3"/>
      <c r="AV144" s="5"/>
      <c r="AW144" s="6"/>
      <c r="AX144" s="7"/>
      <c r="AY144" s="2"/>
      <c r="AZ144" s="2"/>
      <c r="BA144" s="2"/>
      <c r="BB144" s="2"/>
      <c r="BC144" s="3"/>
      <c r="BD144" s="5"/>
      <c r="BE144" s="6"/>
      <c r="BF144" s="7"/>
      <c r="BG144" s="3"/>
      <c r="BH144" s="5"/>
      <c r="BI144" s="6"/>
      <c r="BJ144" s="7"/>
      <c r="BK144" s="3"/>
      <c r="BL144" s="5"/>
      <c r="BM144" s="6"/>
      <c r="BN144" s="7"/>
      <c r="BO144" s="2"/>
      <c r="BP144" s="2"/>
      <c r="BQ144" s="2"/>
      <c r="BR144" s="2"/>
    </row>
    <row r="145" spans="2:70" ht="18.75" customHeight="1" x14ac:dyDescent="0.25">
      <c r="B145" s="8" t="s">
        <v>540</v>
      </c>
      <c r="C145" s="3" t="s">
        <v>540</v>
      </c>
      <c r="D145" s="3"/>
      <c r="E145" s="5" t="str">
        <f ca="1">IFERROR(__xludf.DUMMYFUNCTION("GOOGLETRANSLATE(B145,""ja"",""en"")"),"topping set")</f>
        <v>topping set</v>
      </c>
      <c r="F145" s="5"/>
      <c r="G145" s="6" t="str">
        <f ca="1">IFERROR(__xludf.DUMMYFUNCTION("GOOGLETRANSLATE(B145,""ja"",""ko"")"),"토핑 세트")</f>
        <v>토핑 세트</v>
      </c>
      <c r="H145" s="6"/>
      <c r="I145" s="7" t="str">
        <f ca="1">IFERROR(__xludf.DUMMYFUNCTION("GOOGLETRANSLATE(B145,""ja"",""zh"")"),"浇头套装")</f>
        <v>浇头套装</v>
      </c>
      <c r="J145" s="7"/>
      <c r="K145" s="3" t="s">
        <v>540</v>
      </c>
      <c r="L145" s="3"/>
      <c r="M145" s="5" t="str">
        <f ca="1">IFERROR(__xludf.DUMMYFUNCTION("GOOGLETRANSLATE(J145,""ja"",""en"")"),"#VALUE!")</f>
        <v>#VALUE!</v>
      </c>
      <c r="N145" s="5"/>
      <c r="O145" s="6" t="str">
        <f ca="1">IFERROR(__xludf.DUMMYFUNCTION("GOOGLETRANSLATE(B145,""ja"",""ko"")"),"토핑 세트")</f>
        <v>토핑 세트</v>
      </c>
      <c r="P145" s="6"/>
      <c r="Q145" s="7" t="str">
        <f ca="1">IFERROR(__xludf.DUMMYFUNCTION("GOOGLETRANSLATE(B145,""ja"",""zh"")"),"浇头套装")</f>
        <v>浇头套装</v>
      </c>
      <c r="R145" s="7"/>
      <c r="S145" s="3" t="s">
        <v>540</v>
      </c>
      <c r="T145" s="5" t="str">
        <f ca="1">IFERROR(__xludf.DUMMYFUNCTION("GOOGLETRANSLATE(S145,""ja"",""en"")"),"topping set")</f>
        <v>topping set</v>
      </c>
      <c r="U145" s="6" t="str">
        <f ca="1">IFERROR(__xludf.DUMMYFUNCTION("GOOGLETRANSLATE(S145,""ja"",""ko"")"),"토핑 세트")</f>
        <v>토핑 세트</v>
      </c>
      <c r="V145" s="7" t="str">
        <f ca="1">IFERROR(__xludf.DUMMYFUNCTION("GOOGLETRANSLATE(S145,""ja"",""zh"")"),"浇头套装")</f>
        <v>浇头套装</v>
      </c>
      <c r="W145" s="3"/>
      <c r="X145" s="5"/>
      <c r="Y145" s="6"/>
      <c r="Z145" s="7"/>
      <c r="AA145" s="3"/>
      <c r="AB145" s="5"/>
      <c r="AC145" s="6"/>
      <c r="AD145" s="7"/>
      <c r="AE145" s="3"/>
      <c r="AF145" s="5"/>
      <c r="AG145" s="6"/>
      <c r="AH145" s="7"/>
      <c r="AI145" s="2"/>
      <c r="AJ145" s="2"/>
      <c r="AK145" s="2"/>
      <c r="AL145" s="2"/>
      <c r="AM145" s="3"/>
      <c r="AN145" s="5"/>
      <c r="AO145" s="6"/>
      <c r="AP145" s="7"/>
      <c r="AQ145" s="3"/>
      <c r="AR145" s="5"/>
      <c r="AS145" s="6"/>
      <c r="AT145" s="7"/>
      <c r="AU145" s="3"/>
      <c r="AV145" s="5"/>
      <c r="AW145" s="6"/>
      <c r="AX145" s="7"/>
      <c r="AY145" s="2"/>
      <c r="AZ145" s="2"/>
      <c r="BA145" s="2"/>
      <c r="BB145" s="2"/>
      <c r="BC145" s="3"/>
      <c r="BD145" s="5"/>
      <c r="BE145" s="6"/>
      <c r="BF145" s="7"/>
      <c r="BG145" s="3"/>
      <c r="BH145" s="5"/>
      <c r="BI145" s="6"/>
      <c r="BJ145" s="7"/>
      <c r="BK145" s="3"/>
      <c r="BL145" s="5"/>
      <c r="BM145" s="6"/>
      <c r="BN145" s="7"/>
      <c r="BO145" s="2"/>
      <c r="BP145" s="2"/>
      <c r="BQ145" s="2"/>
      <c r="BR145" s="2"/>
    </row>
    <row r="146" spans="2:70" ht="18.75" customHeight="1" x14ac:dyDescent="0.25">
      <c r="B146" s="8" t="s">
        <v>540</v>
      </c>
      <c r="C146" s="3" t="s">
        <v>540</v>
      </c>
      <c r="D146" s="3"/>
      <c r="E146" s="5" t="str">
        <f ca="1">IFERROR(__xludf.DUMMYFUNCTION("GOOGLETRANSLATE(B146,""ja"",""en"")"),"topping set")</f>
        <v>topping set</v>
      </c>
      <c r="F146" s="5"/>
      <c r="G146" s="6" t="str">
        <f ca="1">IFERROR(__xludf.DUMMYFUNCTION("GOOGLETRANSLATE(B146,""ja"",""ko"")"),"토핑 세트")</f>
        <v>토핑 세트</v>
      </c>
      <c r="H146" s="6"/>
      <c r="I146" s="7" t="str">
        <f ca="1">IFERROR(__xludf.DUMMYFUNCTION("GOOGLETRANSLATE(B146,""ja"",""zh"")"),"浇头套装")</f>
        <v>浇头套装</v>
      </c>
      <c r="J146" s="7"/>
      <c r="K146" s="3" t="s">
        <v>540</v>
      </c>
      <c r="L146" s="3"/>
      <c r="M146" s="5" t="str">
        <f ca="1">IFERROR(__xludf.DUMMYFUNCTION("GOOGLETRANSLATE(J146,""ja"",""en"")"),"#VALUE!")</f>
        <v>#VALUE!</v>
      </c>
      <c r="N146" s="5"/>
      <c r="O146" s="6" t="str">
        <f ca="1">IFERROR(__xludf.DUMMYFUNCTION("GOOGLETRANSLATE(B146,""ja"",""ko"")"),"토핑 세트")</f>
        <v>토핑 세트</v>
      </c>
      <c r="P146" s="6"/>
      <c r="Q146" s="7" t="str">
        <f ca="1">IFERROR(__xludf.DUMMYFUNCTION("GOOGLETRANSLATE(B146,""ja"",""zh"")"),"浇头套装")</f>
        <v>浇头套装</v>
      </c>
      <c r="R146" s="7"/>
      <c r="S146" s="3" t="s">
        <v>540</v>
      </c>
      <c r="T146" s="5" t="str">
        <f ca="1">IFERROR(__xludf.DUMMYFUNCTION("GOOGLETRANSLATE(S146,""ja"",""en"")"),"topping set")</f>
        <v>topping set</v>
      </c>
      <c r="U146" s="6" t="str">
        <f ca="1">IFERROR(__xludf.DUMMYFUNCTION("GOOGLETRANSLATE(S146,""ja"",""ko"")"),"토핑 세트")</f>
        <v>토핑 세트</v>
      </c>
      <c r="V146" s="7" t="str">
        <f ca="1">IFERROR(__xludf.DUMMYFUNCTION("GOOGLETRANSLATE(S146,""ja"",""zh"")"),"浇头套装")</f>
        <v>浇头套装</v>
      </c>
      <c r="W146" s="3"/>
      <c r="X146" s="5"/>
      <c r="Y146" s="6"/>
      <c r="Z146" s="7"/>
      <c r="AA146" s="3"/>
      <c r="AB146" s="5"/>
      <c r="AC146" s="6"/>
      <c r="AD146" s="7"/>
      <c r="AE146" s="3"/>
      <c r="AF146" s="5"/>
      <c r="AG146" s="6"/>
      <c r="AH146" s="7"/>
      <c r="AI146" s="2"/>
      <c r="AJ146" s="2"/>
      <c r="AK146" s="2"/>
      <c r="AL146" s="2"/>
      <c r="AM146" s="3"/>
      <c r="AN146" s="5"/>
      <c r="AO146" s="6"/>
      <c r="AP146" s="7"/>
      <c r="AQ146" s="3"/>
      <c r="AR146" s="5"/>
      <c r="AS146" s="6"/>
      <c r="AT146" s="7"/>
      <c r="AU146" s="3"/>
      <c r="AV146" s="5"/>
      <c r="AW146" s="6"/>
      <c r="AX146" s="7"/>
      <c r="AY146" s="2"/>
      <c r="AZ146" s="2"/>
      <c r="BA146" s="2"/>
      <c r="BB146" s="2"/>
      <c r="BC146" s="3"/>
      <c r="BD146" s="5"/>
      <c r="BE146" s="6"/>
      <c r="BF146" s="7"/>
      <c r="BG146" s="3"/>
      <c r="BH146" s="5"/>
      <c r="BI146" s="6"/>
      <c r="BJ146" s="7"/>
      <c r="BK146" s="3"/>
      <c r="BL146" s="5"/>
      <c r="BM146" s="6"/>
      <c r="BN146" s="7"/>
      <c r="BO146" s="2"/>
      <c r="BP146" s="2"/>
      <c r="BQ146" s="2"/>
      <c r="BR146" s="2"/>
    </row>
    <row r="147" spans="2:70" ht="18.75" customHeight="1" x14ac:dyDescent="0.25">
      <c r="B147" s="8" t="s">
        <v>541</v>
      </c>
      <c r="C147" s="3" t="s">
        <v>541</v>
      </c>
      <c r="D147" s="3"/>
      <c r="E147" s="5" t="str">
        <f ca="1">IFERROR(__xludf.DUMMYFUNCTION("GOOGLETRANSLATE(B147,""ja"",""en"")"),"Pumpkin tempura")</f>
        <v>Pumpkin tempura</v>
      </c>
      <c r="F147" s="5"/>
      <c r="G147" s="6" t="str">
        <f ca="1">IFERROR(__xludf.DUMMYFUNCTION("GOOGLETRANSLATE(B147,""ja"",""ko"")"),"호박천")</f>
        <v>호박천</v>
      </c>
      <c r="H147" s="6"/>
      <c r="I147" s="7" t="str">
        <f ca="1">IFERROR(__xludf.DUMMYFUNCTION("GOOGLETRANSLATE(B147,""ja"",""zh"")"),"南瓜天妇罗")</f>
        <v>南瓜天妇罗</v>
      </c>
      <c r="J147" s="7"/>
      <c r="K147" s="3" t="s">
        <v>541</v>
      </c>
      <c r="L147" s="3"/>
      <c r="M147" s="5" t="str">
        <f ca="1">IFERROR(__xludf.DUMMYFUNCTION("GOOGLETRANSLATE(J147,""ja"",""en"")"),"#VALUE!")</f>
        <v>#VALUE!</v>
      </c>
      <c r="N147" s="5"/>
      <c r="O147" s="6" t="str">
        <f ca="1">IFERROR(__xludf.DUMMYFUNCTION("GOOGLETRANSLATE(B147,""ja"",""ko"")"),"호박천")</f>
        <v>호박천</v>
      </c>
      <c r="P147" s="6"/>
      <c r="Q147" s="7" t="str">
        <f ca="1">IFERROR(__xludf.DUMMYFUNCTION("GOOGLETRANSLATE(B147,""ja"",""zh"")"),"南瓜天妇罗")</f>
        <v>南瓜天妇罗</v>
      </c>
      <c r="R147" s="7"/>
      <c r="S147" s="3" t="s">
        <v>541</v>
      </c>
      <c r="T147" s="5" t="str">
        <f ca="1">IFERROR(__xludf.DUMMYFUNCTION("GOOGLETRANSLATE(S147,""ja"",""en"")"),"Pumpkin tempura")</f>
        <v>Pumpkin tempura</v>
      </c>
      <c r="U147" s="6" t="str">
        <f ca="1">IFERROR(__xludf.DUMMYFUNCTION("GOOGLETRANSLATE(S147,""ja"",""ko"")"),"호박천")</f>
        <v>호박천</v>
      </c>
      <c r="V147" s="7" t="str">
        <f ca="1">IFERROR(__xludf.DUMMYFUNCTION("GOOGLETRANSLATE(S147,""ja"",""zh"")"),"南瓜天妇罗")</f>
        <v>南瓜天妇罗</v>
      </c>
      <c r="W147" s="3"/>
      <c r="X147" s="5"/>
      <c r="Y147" s="6"/>
      <c r="Z147" s="7"/>
      <c r="AA147" s="3"/>
      <c r="AB147" s="5"/>
      <c r="AC147" s="6"/>
      <c r="AD147" s="7"/>
      <c r="AE147" s="3"/>
      <c r="AF147" s="5"/>
      <c r="AG147" s="6"/>
      <c r="AH147" s="7"/>
      <c r="AI147" s="2"/>
      <c r="AJ147" s="2"/>
      <c r="AK147" s="2"/>
      <c r="AL147" s="2"/>
      <c r="AM147" s="3"/>
      <c r="AN147" s="5"/>
      <c r="AO147" s="6"/>
      <c r="AP147" s="7"/>
      <c r="AQ147" s="3"/>
      <c r="AR147" s="5"/>
      <c r="AS147" s="6"/>
      <c r="AT147" s="7"/>
      <c r="AU147" s="3"/>
      <c r="AV147" s="5"/>
      <c r="AW147" s="6"/>
      <c r="AX147" s="7"/>
      <c r="AY147" s="2"/>
      <c r="AZ147" s="2"/>
      <c r="BA147" s="2"/>
      <c r="BB147" s="2"/>
      <c r="BC147" s="3"/>
      <c r="BD147" s="5"/>
      <c r="BE147" s="6"/>
      <c r="BF147" s="7"/>
      <c r="BG147" s="3"/>
      <c r="BH147" s="5"/>
      <c r="BI147" s="6"/>
      <c r="BJ147" s="7"/>
      <c r="BK147" s="3"/>
      <c r="BL147" s="5"/>
      <c r="BM147" s="6"/>
      <c r="BN147" s="7"/>
      <c r="BO147" s="2"/>
      <c r="BP147" s="2"/>
      <c r="BQ147" s="2"/>
      <c r="BR147" s="2"/>
    </row>
    <row r="148" spans="2:70" ht="18.75" customHeight="1" x14ac:dyDescent="0.25">
      <c r="B148" s="8" t="s">
        <v>540</v>
      </c>
      <c r="C148" s="3" t="s">
        <v>540</v>
      </c>
      <c r="D148" s="3"/>
      <c r="E148" s="5" t="str">
        <f ca="1">IFERROR(__xludf.DUMMYFUNCTION("GOOGLETRANSLATE(B148,""ja"",""en"")"),"topping set")</f>
        <v>topping set</v>
      </c>
      <c r="F148" s="5"/>
      <c r="G148" s="6" t="str">
        <f ca="1">IFERROR(__xludf.DUMMYFUNCTION("GOOGLETRANSLATE(B148,""ja"",""ko"")"),"토핑 세트")</f>
        <v>토핑 세트</v>
      </c>
      <c r="H148" s="6"/>
      <c r="I148" s="7" t="str">
        <f ca="1">IFERROR(__xludf.DUMMYFUNCTION("GOOGLETRANSLATE(B148,""ja"",""zh"")"),"浇头套装")</f>
        <v>浇头套装</v>
      </c>
      <c r="J148" s="7"/>
      <c r="K148" s="3" t="s">
        <v>540</v>
      </c>
      <c r="L148" s="3"/>
      <c r="M148" s="5" t="str">
        <f ca="1">IFERROR(__xludf.DUMMYFUNCTION("GOOGLETRANSLATE(J148,""ja"",""en"")"),"#VALUE!")</f>
        <v>#VALUE!</v>
      </c>
      <c r="N148" s="5"/>
      <c r="O148" s="6" t="str">
        <f ca="1">IFERROR(__xludf.DUMMYFUNCTION("GOOGLETRANSLATE(B148,""ja"",""ko"")"),"토핑 세트")</f>
        <v>토핑 세트</v>
      </c>
      <c r="P148" s="6"/>
      <c r="Q148" s="7" t="str">
        <f ca="1">IFERROR(__xludf.DUMMYFUNCTION("GOOGLETRANSLATE(B148,""ja"",""zh"")"),"浇头套装")</f>
        <v>浇头套装</v>
      </c>
      <c r="R148" s="7"/>
      <c r="S148" s="3" t="s">
        <v>540</v>
      </c>
      <c r="T148" s="5" t="str">
        <f ca="1">IFERROR(__xludf.DUMMYFUNCTION("GOOGLETRANSLATE(S148,""ja"",""en"")"),"topping set")</f>
        <v>topping set</v>
      </c>
      <c r="U148" s="6" t="str">
        <f ca="1">IFERROR(__xludf.DUMMYFUNCTION("GOOGLETRANSLATE(S148,""ja"",""ko"")"),"토핑 세트")</f>
        <v>토핑 세트</v>
      </c>
      <c r="V148" s="7" t="str">
        <f ca="1">IFERROR(__xludf.DUMMYFUNCTION("GOOGLETRANSLATE(S148,""ja"",""zh"")"),"浇头套装")</f>
        <v>浇头套装</v>
      </c>
      <c r="W148" s="3"/>
      <c r="X148" s="5"/>
      <c r="Y148" s="6"/>
      <c r="Z148" s="7"/>
      <c r="AA148" s="3"/>
      <c r="AB148" s="5"/>
      <c r="AC148" s="6"/>
      <c r="AD148" s="7"/>
      <c r="AE148" s="3"/>
      <c r="AF148" s="5"/>
      <c r="AG148" s="6"/>
      <c r="AH148" s="7"/>
      <c r="AI148" s="2"/>
      <c r="AJ148" s="2"/>
      <c r="AK148" s="2"/>
      <c r="AL148" s="2"/>
      <c r="AM148" s="3"/>
      <c r="AN148" s="5"/>
      <c r="AO148" s="6"/>
      <c r="AP148" s="7"/>
      <c r="AQ148" s="3"/>
      <c r="AR148" s="5"/>
      <c r="AS148" s="6"/>
      <c r="AT148" s="7"/>
      <c r="AU148" s="3"/>
      <c r="AV148" s="5"/>
      <c r="AW148" s="6"/>
      <c r="AX148" s="7"/>
      <c r="AY148" s="2"/>
      <c r="AZ148" s="2"/>
      <c r="BA148" s="2"/>
      <c r="BB148" s="2"/>
      <c r="BC148" s="3"/>
      <c r="BD148" s="5"/>
      <c r="BE148" s="6"/>
      <c r="BF148" s="7"/>
      <c r="BG148" s="3"/>
      <c r="BH148" s="5"/>
      <c r="BI148" s="6"/>
      <c r="BJ148" s="7"/>
      <c r="BK148" s="3"/>
      <c r="BL148" s="5"/>
      <c r="BM148" s="6"/>
      <c r="BN148" s="7"/>
      <c r="BO148" s="2"/>
      <c r="BP148" s="2"/>
      <c r="BQ148" s="2"/>
      <c r="BR148" s="2"/>
    </row>
    <row r="149" spans="2:70" ht="18.75" customHeight="1" x14ac:dyDescent="0.25">
      <c r="B149" s="8" t="s">
        <v>540</v>
      </c>
      <c r="C149" s="3" t="s">
        <v>540</v>
      </c>
      <c r="D149" s="3"/>
      <c r="E149" s="5" t="str">
        <f ca="1">IFERROR(__xludf.DUMMYFUNCTION("GOOGLETRANSLATE(B149,""ja"",""en"")"),"topping set")</f>
        <v>topping set</v>
      </c>
      <c r="F149" s="5"/>
      <c r="G149" s="6" t="str">
        <f ca="1">IFERROR(__xludf.DUMMYFUNCTION("GOOGLETRANSLATE(B149,""ja"",""ko"")"),"토핑 세트")</f>
        <v>토핑 세트</v>
      </c>
      <c r="H149" s="6"/>
      <c r="I149" s="7" t="str">
        <f ca="1">IFERROR(__xludf.DUMMYFUNCTION("GOOGLETRANSLATE(B149,""ja"",""zh"")"),"浇头套装")</f>
        <v>浇头套装</v>
      </c>
      <c r="J149" s="7"/>
      <c r="K149" s="3" t="s">
        <v>540</v>
      </c>
      <c r="L149" s="3"/>
      <c r="M149" s="5" t="str">
        <f ca="1">IFERROR(__xludf.DUMMYFUNCTION("GOOGLETRANSLATE(J149,""ja"",""en"")"),"#VALUE!")</f>
        <v>#VALUE!</v>
      </c>
      <c r="N149" s="5"/>
      <c r="O149" s="6" t="str">
        <f ca="1">IFERROR(__xludf.DUMMYFUNCTION("GOOGLETRANSLATE(B149,""ja"",""ko"")"),"토핑 세트")</f>
        <v>토핑 세트</v>
      </c>
      <c r="P149" s="6"/>
      <c r="Q149" s="7" t="str">
        <f ca="1">IFERROR(__xludf.DUMMYFUNCTION("GOOGLETRANSLATE(B149,""ja"",""zh"")"),"浇头套装")</f>
        <v>浇头套装</v>
      </c>
      <c r="R149" s="7"/>
      <c r="S149" s="3" t="s">
        <v>540</v>
      </c>
      <c r="T149" s="5" t="str">
        <f ca="1">IFERROR(__xludf.DUMMYFUNCTION("GOOGLETRANSLATE(S149,""ja"",""en"")"),"topping set")</f>
        <v>topping set</v>
      </c>
      <c r="U149" s="6" t="str">
        <f ca="1">IFERROR(__xludf.DUMMYFUNCTION("GOOGLETRANSLATE(S149,""ja"",""ko"")"),"토핑 세트")</f>
        <v>토핑 세트</v>
      </c>
      <c r="V149" s="7" t="str">
        <f ca="1">IFERROR(__xludf.DUMMYFUNCTION("GOOGLETRANSLATE(S149,""ja"",""zh"")"),"浇头套装")</f>
        <v>浇头套装</v>
      </c>
      <c r="W149" s="3"/>
      <c r="X149" s="5"/>
      <c r="Y149" s="6"/>
      <c r="Z149" s="7"/>
      <c r="AA149" s="3"/>
      <c r="AB149" s="5"/>
      <c r="AC149" s="6"/>
      <c r="AD149" s="7"/>
      <c r="AE149" s="3"/>
      <c r="AF149" s="5"/>
      <c r="AG149" s="6"/>
      <c r="AH149" s="7"/>
      <c r="AI149" s="2"/>
      <c r="AJ149" s="2"/>
      <c r="AK149" s="2"/>
      <c r="AL149" s="2"/>
      <c r="AM149" s="3"/>
      <c r="AN149" s="5"/>
      <c r="AO149" s="6"/>
      <c r="AP149" s="7"/>
      <c r="AQ149" s="3"/>
      <c r="AR149" s="5"/>
      <c r="AS149" s="6"/>
      <c r="AT149" s="7"/>
      <c r="AU149" s="3"/>
      <c r="AV149" s="5"/>
      <c r="AW149" s="6"/>
      <c r="AX149" s="7"/>
      <c r="AY149" s="2"/>
      <c r="AZ149" s="2"/>
      <c r="BA149" s="2"/>
      <c r="BB149" s="2"/>
      <c r="BC149" s="3"/>
      <c r="BD149" s="5"/>
      <c r="BE149" s="6"/>
      <c r="BF149" s="7"/>
      <c r="BG149" s="3"/>
      <c r="BH149" s="5"/>
      <c r="BI149" s="6"/>
      <c r="BJ149" s="7"/>
      <c r="BK149" s="3"/>
      <c r="BL149" s="5"/>
      <c r="BM149" s="6"/>
      <c r="BN149" s="7"/>
      <c r="BO149" s="2"/>
      <c r="BP149" s="2"/>
      <c r="BQ149" s="2"/>
      <c r="BR149" s="2"/>
    </row>
    <row r="150" spans="2:70" ht="18.75" customHeight="1" x14ac:dyDescent="0.25">
      <c r="B150" s="8" t="s">
        <v>542</v>
      </c>
      <c r="C150" s="3" t="s">
        <v>543</v>
      </c>
      <c r="D150" s="3" t="s">
        <v>544</v>
      </c>
      <c r="E150" s="5" t="s">
        <v>545</v>
      </c>
      <c r="F150" s="5" t="s">
        <v>118</v>
      </c>
      <c r="G150" s="6" t="str">
        <f ca="1">IFERROR(__xludf.DUMMYFUNCTION("GOOGLETRANSLATE(B150,""ja"",""ko"")"),"푸른 노리 미니 우동")</f>
        <v>푸른 노리 미니 우동</v>
      </c>
      <c r="H150" s="6"/>
      <c r="I150" s="7" t="str">
        <f ca="1">IFERROR(__xludf.DUMMYFUNCTION("GOOGLETRANSLATE(B150,""ja"",""zh"")"),"青海迷你乌冬面")</f>
        <v>青海迷你乌冬面</v>
      </c>
      <c r="J150" s="7"/>
      <c r="K150" s="3" t="s">
        <v>543</v>
      </c>
      <c r="L150" s="3" t="s">
        <v>544</v>
      </c>
      <c r="M150" s="5" t="s">
        <v>545</v>
      </c>
      <c r="N150" s="5" t="s">
        <v>118</v>
      </c>
      <c r="O150" s="6" t="str">
        <f ca="1">IFERROR(__xludf.DUMMYFUNCTION("GOOGLETRANSLATE(B150,""ja"",""ko"")"),"푸른 노리 미니 우동")</f>
        <v>푸른 노리 미니 우동</v>
      </c>
      <c r="P150" s="6"/>
      <c r="Q150" s="7" t="str">
        <f ca="1">IFERROR(__xludf.DUMMYFUNCTION("GOOGLETRANSLATE(B150,""ja"",""zh"")"),"青海迷你乌冬面")</f>
        <v>青海迷你乌冬面</v>
      </c>
      <c r="R150" s="7"/>
      <c r="S150" s="3" t="s">
        <v>546</v>
      </c>
      <c r="T150" s="5" t="str">
        <f ca="1">IFERROR(__xludf.DUMMYFUNCTION("GOOGLETRANSLATE(S150,""ja"",""en"")"),"Aonori Mini Kakeu")</f>
        <v>Aonori Mini Kakeu</v>
      </c>
      <c r="U150" s="6" t="str">
        <f ca="1">IFERROR(__xludf.DUMMYFUNCTION("GOOGLETRANSLATE(S150,""ja"",""ko"")"),"블루 노리 미니")</f>
        <v>블루 노리 미니</v>
      </c>
      <c r="V150" s="7" t="str">
        <f ca="1">IFERROR(__xludf.DUMMYFUNCTION("GOOGLETRANSLATE(S150,""ja"",""zh"")"),"青典迷你卡克乌")</f>
        <v>青典迷你卡克乌</v>
      </c>
      <c r="W150" s="3"/>
      <c r="X150" s="5"/>
      <c r="Y150" s="6"/>
      <c r="Z150" s="7"/>
      <c r="AA150" s="3"/>
      <c r="AB150" s="5"/>
      <c r="AC150" s="6"/>
      <c r="AD150" s="7"/>
      <c r="AE150" s="3"/>
      <c r="AF150" s="5"/>
      <c r="AG150" s="6"/>
      <c r="AH150" s="7"/>
      <c r="AI150" s="2"/>
      <c r="AJ150" s="2"/>
      <c r="AK150" s="2"/>
      <c r="AL150" s="2"/>
      <c r="AM150" s="3"/>
      <c r="AN150" s="5"/>
      <c r="AO150" s="6"/>
      <c r="AP150" s="7"/>
      <c r="AQ150" s="3"/>
      <c r="AR150" s="5"/>
      <c r="AS150" s="6"/>
      <c r="AT150" s="7"/>
      <c r="AU150" s="3"/>
      <c r="AV150" s="5"/>
      <c r="AW150" s="6"/>
      <c r="AX150" s="7"/>
      <c r="AY150" s="2"/>
      <c r="AZ150" s="2"/>
      <c r="BA150" s="2"/>
      <c r="BB150" s="2"/>
      <c r="BC150" s="3"/>
      <c r="BD150" s="5"/>
      <c r="BE150" s="6"/>
      <c r="BF150" s="7"/>
      <c r="BG150" s="3"/>
      <c r="BH150" s="5"/>
      <c r="BI150" s="6"/>
      <c r="BJ150" s="7"/>
      <c r="BK150" s="3"/>
      <c r="BL150" s="5"/>
      <c r="BM150" s="6"/>
      <c r="BN150" s="7"/>
      <c r="BO150" s="2"/>
      <c r="BP150" s="2"/>
      <c r="BQ150" s="2"/>
      <c r="BR150" s="2"/>
    </row>
    <row r="151" spans="2:70" ht="18.75" customHeight="1" x14ac:dyDescent="0.25">
      <c r="B151" s="8" t="s">
        <v>547</v>
      </c>
      <c r="C151" s="3" t="s">
        <v>548</v>
      </c>
      <c r="D151" s="3" t="s">
        <v>549</v>
      </c>
      <c r="E151" s="5" t="s">
        <v>545</v>
      </c>
      <c r="F151" s="5" t="s">
        <v>118</v>
      </c>
      <c r="G151" s="6" t="str">
        <f ca="1">IFERROR(__xludf.DUMMYFUNCTION("GOOGLETRANSLATE(B151,""ja"",""ko"")"),"블루 노리 작은 부카케 우동")</f>
        <v>블루 노리 작은 부카케 우동</v>
      </c>
      <c r="H151" s="6"/>
      <c r="I151" s="7" t="str">
        <f ca="1">IFERROR(__xludf.DUMMYFUNCTION("GOOGLETRANSLATE(B151,""ja"",""zh"")"),"青海小颜射乌冬面")</f>
        <v>青海小颜射乌冬面</v>
      </c>
      <c r="J151" s="7"/>
      <c r="K151" s="3" t="s">
        <v>548</v>
      </c>
      <c r="L151" s="3" t="s">
        <v>549</v>
      </c>
      <c r="M151" s="5" t="s">
        <v>545</v>
      </c>
      <c r="N151" s="5" t="s">
        <v>118</v>
      </c>
      <c r="O151" s="6" t="str">
        <f ca="1">IFERROR(__xludf.DUMMYFUNCTION("GOOGLETRANSLATE(B151,""ja"",""ko"")"),"블루 노리 작은 부카케 우동")</f>
        <v>블루 노리 작은 부카케 우동</v>
      </c>
      <c r="P151" s="6"/>
      <c r="Q151" s="7" t="str">
        <f ca="1">IFERROR(__xludf.DUMMYFUNCTION("GOOGLETRANSLATE(B151,""ja"",""zh"")"),"青海小颜射乌冬面")</f>
        <v>青海小颜射乌冬面</v>
      </c>
      <c r="R151" s="7"/>
      <c r="S151" s="3" t="s">
        <v>550</v>
      </c>
      <c r="T151" s="5" t="str">
        <f ca="1">IFERROR(__xludf.DUMMYFUNCTION("GOOGLETRANSLATE(S151,""ja"",""en"")"),"Aonori mini bukkake")</f>
        <v>Aonori mini bukkake</v>
      </c>
      <c r="U151" s="6" t="str">
        <f ca="1">IFERROR(__xludf.DUMMYFUNCTION("GOOGLETRANSLATE(S151,""ja"",""ko"")"),"블루 노리 미니 부카케")</f>
        <v>블루 노리 미니 부카케</v>
      </c>
      <c r="V151" s="7" t="str">
        <f ca="1">IFERROR(__xludf.DUMMYFUNCTION("GOOGLETRANSLATE(S151,""ja"",""zh"")"),"青典迷你颜射")</f>
        <v>青典迷你颜射</v>
      </c>
      <c r="W151" s="3"/>
      <c r="X151" s="5"/>
      <c r="Y151" s="6"/>
      <c r="Z151" s="7"/>
      <c r="AA151" s="3"/>
      <c r="AB151" s="5"/>
      <c r="AC151" s="6"/>
      <c r="AD151" s="7"/>
      <c r="AE151" s="3"/>
      <c r="AF151" s="5"/>
      <c r="AG151" s="6"/>
      <c r="AH151" s="7"/>
      <c r="AI151" s="2"/>
      <c r="AJ151" s="2"/>
      <c r="AK151" s="2"/>
      <c r="AL151" s="2"/>
      <c r="AM151" s="3"/>
      <c r="AN151" s="5"/>
      <c r="AO151" s="6"/>
      <c r="AP151" s="7"/>
      <c r="AQ151" s="3"/>
      <c r="AR151" s="5"/>
      <c r="AS151" s="6"/>
      <c r="AT151" s="7"/>
      <c r="AU151" s="3"/>
      <c r="AV151" s="5"/>
      <c r="AW151" s="6"/>
      <c r="AX151" s="7"/>
      <c r="AY151" s="2"/>
      <c r="AZ151" s="2"/>
      <c r="BA151" s="2"/>
      <c r="BB151" s="2"/>
      <c r="BC151" s="3"/>
      <c r="BD151" s="5"/>
      <c r="BE151" s="6"/>
      <c r="BF151" s="7"/>
      <c r="BG151" s="3"/>
      <c r="BH151" s="5"/>
      <c r="BI151" s="6"/>
      <c r="BJ151" s="7"/>
      <c r="BK151" s="3"/>
      <c r="BL151" s="5"/>
      <c r="BM151" s="6"/>
      <c r="BN151" s="7"/>
      <c r="BO151" s="2"/>
      <c r="BP151" s="2"/>
      <c r="BQ151" s="2"/>
      <c r="BR151" s="2"/>
    </row>
    <row r="152" spans="2:70" ht="18.75" customHeight="1" x14ac:dyDescent="0.25">
      <c r="B152" s="8" t="s">
        <v>551</v>
      </c>
      <c r="C152" s="3" t="s">
        <v>552</v>
      </c>
      <c r="D152" s="3" t="s">
        <v>544</v>
      </c>
      <c r="E152" s="5" t="s">
        <v>553</v>
      </c>
      <c r="F152" s="5" t="s">
        <v>118</v>
      </c>
      <c r="G152" s="6" t="str">
        <f ca="1">IFERROR(__xludf.DUMMYFUNCTION("GOOGLETRANSLATE(B152,""ja"",""ko"")"),"극태 작게 우동")</f>
        <v>극태 작게 우동</v>
      </c>
      <c r="H152" s="6"/>
      <c r="I152" s="7" t="str">
        <f ca="1">IFERROR(__xludf.DUMMYFUNCTION("GOOGLETRANSLATE(B152,""ja"",""zh"")"),"特粗小乌冬面")</f>
        <v>特粗小乌冬面</v>
      </c>
      <c r="J152" s="7"/>
      <c r="K152" s="3" t="s">
        <v>552</v>
      </c>
      <c r="L152" s="3" t="s">
        <v>544</v>
      </c>
      <c r="M152" s="5" t="s">
        <v>553</v>
      </c>
      <c r="N152" s="5" t="s">
        <v>118</v>
      </c>
      <c r="O152" s="6" t="str">
        <f ca="1">IFERROR(__xludf.DUMMYFUNCTION("GOOGLETRANSLATE(B152,""ja"",""ko"")"),"극태 작게 우동")</f>
        <v>극태 작게 우동</v>
      </c>
      <c r="P152" s="6"/>
      <c r="Q152" s="7" t="str">
        <f ca="1">IFERROR(__xludf.DUMMYFUNCTION("GOOGLETRANSLATE(B152,""ja"",""zh"")"),"特粗小乌冬面")</f>
        <v>特粗小乌冬面</v>
      </c>
      <c r="R152" s="7"/>
      <c r="S152" s="3" t="s">
        <v>554</v>
      </c>
      <c r="T152" s="5" t="str">
        <f ca="1">IFERROR(__xludf.DUMMYFUNCTION("GOOGLETRANSLATE(S152,""ja"",""en"")"),"Extra thick mini udon noodles")</f>
        <v>Extra thick mini udon noodles</v>
      </c>
      <c r="U152" s="6" t="str">
        <f ca="1">IFERROR(__xludf.DUMMYFUNCTION("GOOGLETRANSLATE(S152,""ja"",""ko"")"),"극단 미니 미니 우동")</f>
        <v>극단 미니 미니 우동</v>
      </c>
      <c r="V152" s="7" t="str">
        <f ca="1">IFERROR(__xludf.DUMMYFUNCTION("GOOGLETRANSLATE(S152,""ja"",""zh"")"),"超粗迷你乌冬面")</f>
        <v>超粗迷你乌冬面</v>
      </c>
      <c r="W152" s="3"/>
      <c r="X152" s="5"/>
      <c r="Y152" s="6"/>
      <c r="Z152" s="7"/>
      <c r="AA152" s="3"/>
      <c r="AB152" s="5"/>
      <c r="AC152" s="6"/>
      <c r="AD152" s="7"/>
      <c r="AE152" s="3"/>
      <c r="AF152" s="5"/>
      <c r="AG152" s="6"/>
      <c r="AH152" s="7"/>
      <c r="AI152" s="2"/>
      <c r="AJ152" s="2"/>
      <c r="AK152" s="2"/>
      <c r="AL152" s="2"/>
      <c r="AM152" s="3"/>
      <c r="AN152" s="5"/>
      <c r="AO152" s="6"/>
      <c r="AP152" s="7"/>
      <c r="AQ152" s="3"/>
      <c r="AR152" s="5"/>
      <c r="AS152" s="6"/>
      <c r="AT152" s="7"/>
      <c r="AU152" s="3"/>
      <c r="AV152" s="5"/>
      <c r="AW152" s="6"/>
      <c r="AX152" s="7"/>
      <c r="AY152" s="2"/>
      <c r="AZ152" s="2"/>
      <c r="BA152" s="2"/>
      <c r="BB152" s="2"/>
      <c r="BC152" s="3"/>
      <c r="BD152" s="5"/>
      <c r="BE152" s="6"/>
      <c r="BF152" s="7"/>
      <c r="BG152" s="3"/>
      <c r="BH152" s="5"/>
      <c r="BI152" s="6"/>
      <c r="BJ152" s="7"/>
      <c r="BK152" s="3"/>
      <c r="BL152" s="5"/>
      <c r="BM152" s="6"/>
      <c r="BN152" s="7"/>
      <c r="BO152" s="2"/>
      <c r="BP152" s="2"/>
      <c r="BQ152" s="2"/>
      <c r="BR152" s="2"/>
    </row>
    <row r="153" spans="2:70" ht="18.75" customHeight="1" x14ac:dyDescent="0.25">
      <c r="B153" s="8" t="s">
        <v>555</v>
      </c>
      <c r="C153" s="3" t="s">
        <v>552</v>
      </c>
      <c r="D153" s="3" t="s">
        <v>549</v>
      </c>
      <c r="E153" s="5" t="s">
        <v>553</v>
      </c>
      <c r="F153" s="5" t="s">
        <v>118</v>
      </c>
      <c r="G153" s="6" t="str">
        <f ca="1">IFERROR(__xludf.DUMMYFUNCTION("GOOGLETRANSLATE(B153,""ja"",""ko"")"),"극단 작은 부카케 우동")</f>
        <v>극단 작은 부카케 우동</v>
      </c>
      <c r="H153" s="6"/>
      <c r="I153" s="7" t="str">
        <f ca="1">IFERROR(__xludf.DUMMYFUNCTION("GOOGLETRANSLATE(B153,""ja"",""zh"")"),"特厚小颜射乌冬面")</f>
        <v>特厚小颜射乌冬面</v>
      </c>
      <c r="J153" s="7"/>
      <c r="K153" s="3" t="s">
        <v>552</v>
      </c>
      <c r="L153" s="3" t="s">
        <v>549</v>
      </c>
      <c r="M153" s="5" t="s">
        <v>553</v>
      </c>
      <c r="N153" s="5" t="s">
        <v>118</v>
      </c>
      <c r="O153" s="6" t="str">
        <f ca="1">IFERROR(__xludf.DUMMYFUNCTION("GOOGLETRANSLATE(B153,""ja"",""ko"")"),"극단 작은 부카케 우동")</f>
        <v>극단 작은 부카케 우동</v>
      </c>
      <c r="P153" s="6"/>
      <c r="Q153" s="7" t="str">
        <f ca="1">IFERROR(__xludf.DUMMYFUNCTION("GOOGLETRANSLATE(B153,""ja"",""zh"")"),"特厚小颜射乌冬面")</f>
        <v>特厚小颜射乌冬面</v>
      </c>
      <c r="R153" s="7"/>
      <c r="S153" s="3" t="s">
        <v>556</v>
      </c>
      <c r="T153" s="5" t="str">
        <f ca="1">IFERROR(__xludf.DUMMYFUNCTION("GOOGLETRANSLATE(S153,""ja"",""en"")"),"Extremely thick mini bukkake")</f>
        <v>Extremely thick mini bukkake</v>
      </c>
      <c r="U153" s="6" t="str">
        <f ca="1">IFERROR(__xludf.DUMMYFUNCTION("GOOGLETRANSLATE(S153,""ja"",""ko"")"),"극단 미니 부카케")</f>
        <v>극단 미니 부카케</v>
      </c>
      <c r="V153" s="7" t="str">
        <f ca="1">IFERROR(__xludf.DUMMYFUNCTION("GOOGLETRANSLATE(S153,""ja"",""zh"")"),"极厚的迷你颜射")</f>
        <v>极厚的迷你颜射</v>
      </c>
      <c r="W153" s="3"/>
      <c r="X153" s="5"/>
      <c r="Y153" s="6"/>
      <c r="Z153" s="7"/>
      <c r="AA153" s="3"/>
      <c r="AB153" s="5"/>
      <c r="AC153" s="6"/>
      <c r="AD153" s="7"/>
      <c r="AE153" s="3"/>
      <c r="AF153" s="5"/>
      <c r="AG153" s="6"/>
      <c r="AH153" s="7"/>
      <c r="AI153" s="2"/>
      <c r="AJ153" s="2"/>
      <c r="AK153" s="2"/>
      <c r="AL153" s="2"/>
      <c r="AM153" s="3"/>
      <c r="AN153" s="5"/>
      <c r="AO153" s="6"/>
      <c r="AP153" s="7"/>
      <c r="AQ153" s="3"/>
      <c r="AR153" s="5"/>
      <c r="AS153" s="6"/>
      <c r="AT153" s="7"/>
      <c r="AU153" s="3"/>
      <c r="AV153" s="5"/>
      <c r="AW153" s="6"/>
      <c r="AX153" s="7"/>
      <c r="AY153" s="2"/>
      <c r="AZ153" s="2"/>
      <c r="BA153" s="2"/>
      <c r="BB153" s="2"/>
      <c r="BC153" s="3"/>
      <c r="BD153" s="5"/>
      <c r="BE153" s="6"/>
      <c r="BF153" s="7"/>
      <c r="BG153" s="3"/>
      <c r="BH153" s="5"/>
      <c r="BI153" s="6"/>
      <c r="BJ153" s="7"/>
      <c r="BK153" s="3"/>
      <c r="BL153" s="5"/>
      <c r="BM153" s="6"/>
      <c r="BN153" s="7"/>
      <c r="BO153" s="2"/>
      <c r="BP153" s="2"/>
      <c r="BQ153" s="2"/>
      <c r="BR153" s="2"/>
    </row>
    <row r="154" spans="2:70" ht="18.75" customHeight="1" x14ac:dyDescent="0.25">
      <c r="B154" s="8" t="s">
        <v>540</v>
      </c>
      <c r="C154" s="3" t="s">
        <v>540</v>
      </c>
      <c r="D154" s="3"/>
      <c r="E154" s="5" t="str">
        <f ca="1">IFERROR(__xludf.DUMMYFUNCTION("GOOGLETRANSLATE(B154,""ja"",""en"")"),"topping set")</f>
        <v>topping set</v>
      </c>
      <c r="F154" s="5"/>
      <c r="G154" s="6" t="str">
        <f ca="1">IFERROR(__xludf.DUMMYFUNCTION("GOOGLETRANSLATE(B154,""ja"",""ko"")"),"토핑 세트")</f>
        <v>토핑 세트</v>
      </c>
      <c r="H154" s="6"/>
      <c r="I154" s="7" t="str">
        <f ca="1">IFERROR(__xludf.DUMMYFUNCTION("GOOGLETRANSLATE(B154,""ja"",""zh"")"),"浇头套装")</f>
        <v>浇头套装</v>
      </c>
      <c r="J154" s="7"/>
      <c r="K154" s="3" t="s">
        <v>540</v>
      </c>
      <c r="L154" s="3"/>
      <c r="M154" s="5" t="str">
        <f ca="1">IFERROR(__xludf.DUMMYFUNCTION("GOOGLETRANSLATE(J154,""ja"",""en"")"),"#VALUE!")</f>
        <v>#VALUE!</v>
      </c>
      <c r="N154" s="5"/>
      <c r="O154" s="6" t="str">
        <f ca="1">IFERROR(__xludf.DUMMYFUNCTION("GOOGLETRANSLATE(B154,""ja"",""ko"")"),"토핑 세트")</f>
        <v>토핑 세트</v>
      </c>
      <c r="P154" s="6"/>
      <c r="Q154" s="7" t="str">
        <f ca="1">IFERROR(__xludf.DUMMYFUNCTION("GOOGLETRANSLATE(B154,""ja"",""zh"")"),"浇头套装")</f>
        <v>浇头套装</v>
      </c>
      <c r="R154" s="7"/>
      <c r="S154" s="3" t="s">
        <v>540</v>
      </c>
      <c r="T154" s="5" t="str">
        <f ca="1">IFERROR(__xludf.DUMMYFUNCTION("GOOGLETRANSLATE(S154,""ja"",""en"")"),"topping set")</f>
        <v>topping set</v>
      </c>
      <c r="U154" s="6" t="str">
        <f ca="1">IFERROR(__xludf.DUMMYFUNCTION("GOOGLETRANSLATE(S154,""ja"",""ko"")"),"토핑 세트")</f>
        <v>토핑 세트</v>
      </c>
      <c r="V154" s="7" t="str">
        <f ca="1">IFERROR(__xludf.DUMMYFUNCTION("GOOGLETRANSLATE(S154,""ja"",""zh"")"),"浇头套装")</f>
        <v>浇头套装</v>
      </c>
      <c r="W154" s="3"/>
      <c r="X154" s="5"/>
      <c r="Y154" s="6"/>
      <c r="Z154" s="7"/>
      <c r="AA154" s="3"/>
      <c r="AB154" s="5"/>
      <c r="AC154" s="6"/>
      <c r="AD154" s="7"/>
      <c r="AE154" s="3"/>
      <c r="AF154" s="5"/>
      <c r="AG154" s="6"/>
      <c r="AH154" s="7"/>
      <c r="AI154" s="2"/>
      <c r="AJ154" s="2"/>
      <c r="AK154" s="2"/>
      <c r="AL154" s="2"/>
      <c r="AM154" s="3"/>
      <c r="AN154" s="5"/>
      <c r="AO154" s="6"/>
      <c r="AP154" s="7"/>
      <c r="AQ154" s="3"/>
      <c r="AR154" s="5"/>
      <c r="AS154" s="6"/>
      <c r="AT154" s="7"/>
      <c r="AU154" s="3"/>
      <c r="AV154" s="5"/>
      <c r="AW154" s="6"/>
      <c r="AX154" s="7"/>
      <c r="AY154" s="2"/>
      <c r="AZ154" s="2"/>
      <c r="BA154" s="2"/>
      <c r="BB154" s="2"/>
      <c r="BC154" s="3"/>
      <c r="BD154" s="5"/>
      <c r="BE154" s="6"/>
      <c r="BF154" s="7"/>
      <c r="BG154" s="3"/>
      <c r="BH154" s="5"/>
      <c r="BI154" s="6"/>
      <c r="BJ154" s="7"/>
      <c r="BK154" s="3"/>
      <c r="BL154" s="5"/>
      <c r="BM154" s="6"/>
      <c r="BN154" s="7"/>
      <c r="BO154" s="2"/>
      <c r="BP154" s="2"/>
      <c r="BQ154" s="2"/>
      <c r="BR154" s="2"/>
    </row>
    <row r="155" spans="2:70" ht="18.75" customHeight="1" x14ac:dyDescent="0.25">
      <c r="B155" s="8" t="s">
        <v>557</v>
      </c>
      <c r="C155" s="3" t="s">
        <v>557</v>
      </c>
      <c r="D155" s="3"/>
      <c r="E155" s="5" t="s">
        <v>558</v>
      </c>
      <c r="F155" s="5"/>
      <c r="G155" s="6" t="str">
        <f ca="1">IFERROR(__xludf.DUMMYFUNCTION("GOOGLETRANSLATE(B155,""ja"",""ko"")"),"혼합 밥 주먹밥")</f>
        <v>혼합 밥 주먹밥</v>
      </c>
      <c r="H155" s="6"/>
      <c r="I155" s="7" t="str">
        <f ca="1">IFERROR(__xludf.DUMMYFUNCTION("GOOGLETRANSLATE(B155,""ja"",""zh"")"),"什锦饭团")</f>
        <v>什锦饭团</v>
      </c>
      <c r="J155" s="7"/>
      <c r="K155" s="3" t="s">
        <v>557</v>
      </c>
      <c r="L155" s="3"/>
      <c r="M155" s="5" t="s">
        <v>558</v>
      </c>
      <c r="N155" s="5"/>
      <c r="O155" s="6" t="str">
        <f ca="1">IFERROR(__xludf.DUMMYFUNCTION("GOOGLETRANSLATE(B155,""ja"",""ko"")"),"혼합 밥 주먹밥")</f>
        <v>혼합 밥 주먹밥</v>
      </c>
      <c r="P155" s="6"/>
      <c r="Q155" s="7" t="str">
        <f ca="1">IFERROR(__xludf.DUMMYFUNCTION("GOOGLETRANSLATE(B155,""ja"",""zh"")"),"什锦饭团")</f>
        <v>什锦饭团</v>
      </c>
      <c r="R155" s="7"/>
      <c r="S155" s="3" t="s">
        <v>557</v>
      </c>
      <c r="T155" s="5" t="str">
        <f ca="1">IFERROR(__xludf.DUMMYFUNCTION("GOOGLETRANSLATE(S155,""ja"",""en"")"),"mixed rice rice ball")</f>
        <v>mixed rice rice ball</v>
      </c>
      <c r="U155" s="6" t="str">
        <f ca="1">IFERROR(__xludf.DUMMYFUNCTION("GOOGLETRANSLATE(S155,""ja"",""ko"")"),"혼합 밥 주먹밥")</f>
        <v>혼합 밥 주먹밥</v>
      </c>
      <c r="V155" s="7" t="str">
        <f ca="1">IFERROR(__xludf.DUMMYFUNCTION("GOOGLETRANSLATE(S155,""ja"",""zh"")"),"什锦饭团")</f>
        <v>什锦饭团</v>
      </c>
      <c r="W155" s="3"/>
      <c r="X155" s="5"/>
      <c r="Y155" s="6"/>
      <c r="Z155" s="7"/>
      <c r="AA155" s="3"/>
      <c r="AB155" s="5"/>
      <c r="AC155" s="6"/>
      <c r="AD155" s="7"/>
      <c r="AE155" s="3"/>
      <c r="AF155" s="5"/>
      <c r="AG155" s="6"/>
      <c r="AH155" s="7"/>
      <c r="AI155" s="2"/>
      <c r="AJ155" s="2"/>
      <c r="AK155" s="2"/>
      <c r="AL155" s="2"/>
      <c r="AM155" s="3"/>
      <c r="AN155" s="5"/>
      <c r="AO155" s="6"/>
      <c r="AP155" s="7"/>
      <c r="AQ155" s="3"/>
      <c r="AR155" s="5"/>
      <c r="AS155" s="6"/>
      <c r="AT155" s="7"/>
      <c r="AU155" s="3"/>
      <c r="AV155" s="5"/>
      <c r="AW155" s="6"/>
      <c r="AX155" s="7"/>
      <c r="AY155" s="2"/>
      <c r="AZ155" s="2"/>
      <c r="BA155" s="2"/>
      <c r="BB155" s="2"/>
      <c r="BC155" s="3"/>
      <c r="BD155" s="5"/>
      <c r="BE155" s="6"/>
      <c r="BF155" s="7"/>
      <c r="BG155" s="3"/>
      <c r="BH155" s="5"/>
      <c r="BI155" s="6"/>
      <c r="BJ155" s="7"/>
      <c r="BK155" s="3"/>
      <c r="BL155" s="5"/>
      <c r="BM155" s="6"/>
      <c r="BN155" s="7"/>
      <c r="BO155" s="2"/>
      <c r="BP155" s="2"/>
      <c r="BQ155" s="2"/>
      <c r="BR155" s="2"/>
    </row>
    <row r="156" spans="2:70" ht="18.75" customHeight="1" x14ac:dyDescent="0.25">
      <c r="B156" s="8" t="s">
        <v>559</v>
      </c>
      <c r="C156" s="3" t="s">
        <v>559</v>
      </c>
      <c r="D156" s="3"/>
      <c r="E156" s="5" t="s">
        <v>558</v>
      </c>
      <c r="F156" s="5"/>
      <c r="G156" s="6" t="str">
        <f ca="1">IFERROR(__xludf.DUMMYFUNCTION("GOOGLETRANSLATE(B156,""ja"",""ko"")"),"맛있는 밥 주먹밥")</f>
        <v>맛있는 밥 주먹밥</v>
      </c>
      <c r="H156" s="6"/>
      <c r="I156" s="7" t="str">
        <f ca="1">IFERROR(__xludf.DUMMYFUNCTION("GOOGLETRANSLATE(B156,""ja"",""zh"")"),"什锦饭团")</f>
        <v>什锦饭团</v>
      </c>
      <c r="J156" s="7"/>
      <c r="K156" s="3" t="s">
        <v>559</v>
      </c>
      <c r="L156" s="3"/>
      <c r="M156" s="5" t="s">
        <v>558</v>
      </c>
      <c r="N156" s="5"/>
      <c r="O156" s="6" t="str">
        <f ca="1">IFERROR(__xludf.DUMMYFUNCTION("GOOGLETRANSLATE(B156,""ja"",""ko"")"),"맛있는 밥 주먹밥")</f>
        <v>맛있는 밥 주먹밥</v>
      </c>
      <c r="P156" s="6"/>
      <c r="Q156" s="7" t="str">
        <f ca="1">IFERROR(__xludf.DUMMYFUNCTION("GOOGLETRANSLATE(B156,""ja"",""zh"")"),"什锦饭团")</f>
        <v>什锦饭团</v>
      </c>
      <c r="R156" s="7"/>
      <c r="S156" s="3" t="s">
        <v>559</v>
      </c>
      <c r="T156" s="5" t="str">
        <f ca="1">IFERROR(__xludf.DUMMYFUNCTION("GOOGLETRANSLATE(S156,""ja"",""en"")"),"Mixed rice rice ball")</f>
        <v>Mixed rice rice ball</v>
      </c>
      <c r="U156" s="6" t="str">
        <f ca="1">IFERROR(__xludf.DUMMYFUNCTION("GOOGLETRANSLATE(S156,""ja"",""ko"")"),"맛있는 밥 주먹밥")</f>
        <v>맛있는 밥 주먹밥</v>
      </c>
      <c r="V156" s="7" t="str">
        <f ca="1">IFERROR(__xludf.DUMMYFUNCTION("GOOGLETRANSLATE(S156,""ja"",""zh"")"),"什锦饭团")</f>
        <v>什锦饭团</v>
      </c>
      <c r="W156" s="3"/>
      <c r="X156" s="5"/>
      <c r="Y156" s="6"/>
      <c r="Z156" s="7"/>
      <c r="AA156" s="3"/>
      <c r="AB156" s="5"/>
      <c r="AC156" s="6"/>
      <c r="AD156" s="7"/>
      <c r="AE156" s="3"/>
      <c r="AF156" s="5"/>
      <c r="AG156" s="6"/>
      <c r="AH156" s="7"/>
      <c r="AI156" s="2"/>
      <c r="AJ156" s="2"/>
      <c r="AK156" s="2"/>
      <c r="AL156" s="2"/>
      <c r="AM156" s="3"/>
      <c r="AN156" s="5"/>
      <c r="AO156" s="6"/>
      <c r="AP156" s="7"/>
      <c r="AQ156" s="3"/>
      <c r="AR156" s="5"/>
      <c r="AS156" s="6"/>
      <c r="AT156" s="7"/>
      <c r="AU156" s="3"/>
      <c r="AV156" s="5"/>
      <c r="AW156" s="6"/>
      <c r="AX156" s="7"/>
      <c r="AY156" s="2"/>
      <c r="AZ156" s="2"/>
      <c r="BA156" s="2"/>
      <c r="BB156" s="2"/>
      <c r="BC156" s="3"/>
      <c r="BD156" s="5"/>
      <c r="BE156" s="6"/>
      <c r="BF156" s="7"/>
      <c r="BG156" s="3"/>
      <c r="BH156" s="5"/>
      <c r="BI156" s="6"/>
      <c r="BJ156" s="7"/>
      <c r="BK156" s="3"/>
      <c r="BL156" s="5"/>
      <c r="BM156" s="6"/>
      <c r="BN156" s="7"/>
      <c r="BO156" s="2"/>
      <c r="BP156" s="2"/>
      <c r="BQ156" s="2"/>
      <c r="BR156" s="2"/>
    </row>
    <row r="157" spans="2:70" ht="18.75" customHeight="1" x14ac:dyDescent="0.25">
      <c r="B157" s="8" t="s">
        <v>560</v>
      </c>
      <c r="C157" s="3" t="s">
        <v>560</v>
      </c>
      <c r="D157" s="3"/>
      <c r="E157" s="5" t="s">
        <v>558</v>
      </c>
      <c r="F157" s="5"/>
      <c r="G157" s="6" t="str">
        <f ca="1">IFERROR(__xludf.DUMMYFUNCTION("GOOGLETRANSLATE(B157,""ja"",""ko"")"),"혼합 밥 주먹밥")</f>
        <v>혼합 밥 주먹밥</v>
      </c>
      <c r="H157" s="6"/>
      <c r="I157" s="7" t="str">
        <f ca="1">IFERROR(__xludf.DUMMYFUNCTION("GOOGLETRANSLATE(B157,""ja"",""zh"")"),"什锦饭团")</f>
        <v>什锦饭团</v>
      </c>
      <c r="J157" s="7"/>
      <c r="K157" s="3" t="s">
        <v>560</v>
      </c>
      <c r="L157" s="3"/>
      <c r="M157" s="5" t="s">
        <v>558</v>
      </c>
      <c r="N157" s="5"/>
      <c r="O157" s="6" t="str">
        <f ca="1">IFERROR(__xludf.DUMMYFUNCTION("GOOGLETRANSLATE(B157,""ja"",""ko"")"),"혼합 밥 주먹밥")</f>
        <v>혼합 밥 주먹밥</v>
      </c>
      <c r="P157" s="6"/>
      <c r="Q157" s="7" t="str">
        <f ca="1">IFERROR(__xludf.DUMMYFUNCTION("GOOGLETRANSLATE(B157,""ja"",""zh"")"),"什锦饭团")</f>
        <v>什锦饭团</v>
      </c>
      <c r="R157" s="7"/>
      <c r="S157" s="3" t="s">
        <v>560</v>
      </c>
      <c r="T157" s="5" t="str">
        <f ca="1">IFERROR(__xludf.DUMMYFUNCTION("GOOGLETRANSLATE(S157,""ja"",""en"")"),"mixed rice rice ball")</f>
        <v>mixed rice rice ball</v>
      </c>
      <c r="U157" s="6" t="str">
        <f ca="1">IFERROR(__xludf.DUMMYFUNCTION("GOOGLETRANSLATE(S157,""ja"",""ko"")"),"혼합 밥 주먹밥")</f>
        <v>혼합 밥 주먹밥</v>
      </c>
      <c r="V157" s="7" t="str">
        <f ca="1">IFERROR(__xludf.DUMMYFUNCTION("GOOGLETRANSLATE(S157,""ja"",""zh"")"),"什锦饭团")</f>
        <v>什锦饭团</v>
      </c>
      <c r="W157" s="3"/>
      <c r="X157" s="5"/>
      <c r="Y157" s="6"/>
      <c r="Z157" s="7"/>
      <c r="AA157" s="3"/>
      <c r="AB157" s="5"/>
      <c r="AC157" s="6"/>
      <c r="AD157" s="7"/>
      <c r="AE157" s="3"/>
      <c r="AF157" s="5"/>
      <c r="AG157" s="6"/>
      <c r="AH157" s="7"/>
      <c r="AI157" s="2"/>
      <c r="AJ157" s="2"/>
      <c r="AK157" s="2"/>
      <c r="AL157" s="2"/>
      <c r="AM157" s="3"/>
      <c r="AN157" s="5"/>
      <c r="AO157" s="6"/>
      <c r="AP157" s="7"/>
      <c r="AQ157" s="3"/>
      <c r="AR157" s="5"/>
      <c r="AS157" s="6"/>
      <c r="AT157" s="7"/>
      <c r="AU157" s="3"/>
      <c r="AV157" s="5"/>
      <c r="AW157" s="6"/>
      <c r="AX157" s="7"/>
      <c r="AY157" s="2"/>
      <c r="AZ157" s="2"/>
      <c r="BA157" s="2"/>
      <c r="BB157" s="2"/>
      <c r="BC157" s="3"/>
      <c r="BD157" s="5"/>
      <c r="BE157" s="6"/>
      <c r="BF157" s="7"/>
      <c r="BG157" s="3"/>
      <c r="BH157" s="5"/>
      <c r="BI157" s="6"/>
      <c r="BJ157" s="7"/>
      <c r="BK157" s="3"/>
      <c r="BL157" s="5"/>
      <c r="BM157" s="6"/>
      <c r="BN157" s="7"/>
      <c r="BO157" s="2"/>
      <c r="BP157" s="2"/>
      <c r="BQ157" s="2"/>
      <c r="BR157" s="2"/>
    </row>
    <row r="158" spans="2:70" ht="18.75" customHeight="1" x14ac:dyDescent="0.25">
      <c r="B158" s="8" t="s">
        <v>561</v>
      </c>
      <c r="C158" s="3" t="s">
        <v>561</v>
      </c>
      <c r="D158" s="3"/>
      <c r="E158" s="5" t="s">
        <v>558</v>
      </c>
      <c r="F158" s="5"/>
      <c r="G158" s="6" t="str">
        <f ca="1">IFERROR(__xludf.DUMMYFUNCTION("GOOGLETRANSLATE(B158,""ja"",""ko"")"),"혼합 밥 밥")</f>
        <v>혼합 밥 밥</v>
      </c>
      <c r="H158" s="6"/>
      <c r="I158" s="7" t="str">
        <f ca="1">IFERROR(__xludf.DUMMYFUNCTION("GOOGLETRANSLATE(B158,""ja"",""zh"")"),"什锦饭团")</f>
        <v>什锦饭团</v>
      </c>
      <c r="J158" s="7"/>
      <c r="K158" s="3" t="s">
        <v>561</v>
      </c>
      <c r="L158" s="3"/>
      <c r="M158" s="5" t="s">
        <v>558</v>
      </c>
      <c r="N158" s="5"/>
      <c r="O158" s="6" t="str">
        <f ca="1">IFERROR(__xludf.DUMMYFUNCTION("GOOGLETRANSLATE(B158,""ja"",""ko"")"),"혼합 밥 밥")</f>
        <v>혼합 밥 밥</v>
      </c>
      <c r="P158" s="6"/>
      <c r="Q158" s="7" t="str">
        <f ca="1">IFERROR(__xludf.DUMMYFUNCTION("GOOGLETRANSLATE(B158,""ja"",""zh"")"),"什锦饭团")</f>
        <v>什锦饭团</v>
      </c>
      <c r="R158" s="7"/>
      <c r="S158" s="3" t="s">
        <v>561</v>
      </c>
      <c r="T158" s="5" t="str">
        <f ca="1">IFERROR(__xludf.DUMMYFUNCTION("GOOGLETRANSLATE(S158,""ja"",""en"")"),"Mixed rice rice ball")</f>
        <v>Mixed rice rice ball</v>
      </c>
      <c r="U158" s="6" t="str">
        <f ca="1">IFERROR(__xludf.DUMMYFUNCTION("GOOGLETRANSLATE(S158,""ja"",""ko"")"),"혼합 밥 밥")</f>
        <v>혼합 밥 밥</v>
      </c>
      <c r="V158" s="7" t="str">
        <f ca="1">IFERROR(__xludf.DUMMYFUNCTION("GOOGLETRANSLATE(S158,""ja"",""zh"")"),"什锦饭团")</f>
        <v>什锦饭团</v>
      </c>
      <c r="W158" s="3"/>
      <c r="X158" s="5"/>
      <c r="Y158" s="6"/>
      <c r="Z158" s="7"/>
      <c r="AA158" s="3"/>
      <c r="AB158" s="5"/>
      <c r="AC158" s="6"/>
      <c r="AD158" s="7"/>
      <c r="AE158" s="3"/>
      <c r="AF158" s="5"/>
      <c r="AG158" s="6"/>
      <c r="AH158" s="7"/>
      <c r="AI158" s="2"/>
      <c r="AJ158" s="2"/>
      <c r="AK158" s="2"/>
      <c r="AL158" s="2"/>
      <c r="AM158" s="3"/>
      <c r="AN158" s="5"/>
      <c r="AO158" s="6"/>
      <c r="AP158" s="7"/>
      <c r="AQ158" s="3"/>
      <c r="AR158" s="5"/>
      <c r="AS158" s="6"/>
      <c r="AT158" s="7"/>
      <c r="AU158" s="3"/>
      <c r="AV158" s="5"/>
      <c r="AW158" s="6"/>
      <c r="AX158" s="7"/>
      <c r="AY158" s="2"/>
      <c r="AZ158" s="2"/>
      <c r="BA158" s="2"/>
      <c r="BB158" s="2"/>
      <c r="BC158" s="3"/>
      <c r="BD158" s="5"/>
      <c r="BE158" s="6"/>
      <c r="BF158" s="7"/>
      <c r="BG158" s="3"/>
      <c r="BH158" s="5"/>
      <c r="BI158" s="6"/>
      <c r="BJ158" s="7"/>
      <c r="BK158" s="3"/>
      <c r="BL158" s="5"/>
      <c r="BM158" s="6"/>
      <c r="BN158" s="7"/>
      <c r="BO158" s="2"/>
      <c r="BP158" s="2"/>
      <c r="BQ158" s="2"/>
      <c r="BR158" s="2"/>
    </row>
    <row r="159" spans="2:70" ht="18.75" customHeight="1" x14ac:dyDescent="0.25">
      <c r="B159" s="8" t="s">
        <v>562</v>
      </c>
      <c r="C159" s="3" t="s">
        <v>562</v>
      </c>
      <c r="D159" s="3"/>
      <c r="E159" s="5" t="s">
        <v>558</v>
      </c>
      <c r="F159" s="5"/>
      <c r="G159" s="6" t="str">
        <f ca="1">IFERROR(__xludf.DUMMYFUNCTION("GOOGLETRANSLATE(B159,""ja"",""ko"")"),"맛있는 밥 주먹밥")</f>
        <v>맛있는 밥 주먹밥</v>
      </c>
      <c r="H159" s="6"/>
      <c r="I159" s="7" t="str">
        <f ca="1">IFERROR(__xludf.DUMMYFUNCTION("GOOGLETRANSLATE(B159,""ja"",""zh"")"),"什锦饭团")</f>
        <v>什锦饭团</v>
      </c>
      <c r="J159" s="7"/>
      <c r="K159" s="3" t="s">
        <v>562</v>
      </c>
      <c r="L159" s="3"/>
      <c r="M159" s="5" t="s">
        <v>558</v>
      </c>
      <c r="N159" s="5"/>
      <c r="O159" s="6" t="str">
        <f ca="1">IFERROR(__xludf.DUMMYFUNCTION("GOOGLETRANSLATE(B159,""ja"",""ko"")"),"맛있는 밥 주먹밥")</f>
        <v>맛있는 밥 주먹밥</v>
      </c>
      <c r="P159" s="6"/>
      <c r="Q159" s="7" t="str">
        <f ca="1">IFERROR(__xludf.DUMMYFUNCTION("GOOGLETRANSLATE(B159,""ja"",""zh"")"),"什锦饭团")</f>
        <v>什锦饭团</v>
      </c>
      <c r="R159" s="7"/>
      <c r="S159" s="3" t="s">
        <v>562</v>
      </c>
      <c r="T159" s="5" t="str">
        <f ca="1">IFERROR(__xludf.DUMMYFUNCTION("GOOGLETRANSLATE(S159,""ja"",""en"")"),"Mixed rice rice ball")</f>
        <v>Mixed rice rice ball</v>
      </c>
      <c r="U159" s="6" t="str">
        <f ca="1">IFERROR(__xludf.DUMMYFUNCTION("GOOGLETRANSLATE(S159,""ja"",""ko"")"),"맛있는 밥 주먹밥")</f>
        <v>맛있는 밥 주먹밥</v>
      </c>
      <c r="V159" s="7" t="str">
        <f ca="1">IFERROR(__xludf.DUMMYFUNCTION("GOOGLETRANSLATE(S159,""ja"",""zh"")"),"什锦饭团")</f>
        <v>什锦饭团</v>
      </c>
      <c r="W159" s="3"/>
      <c r="X159" s="5"/>
      <c r="Y159" s="6"/>
      <c r="Z159" s="7"/>
      <c r="AA159" s="3"/>
      <c r="AB159" s="5"/>
      <c r="AC159" s="6"/>
      <c r="AD159" s="7"/>
      <c r="AE159" s="3"/>
      <c r="AF159" s="5"/>
      <c r="AG159" s="6"/>
      <c r="AH159" s="7"/>
      <c r="AI159" s="2"/>
      <c r="AJ159" s="2"/>
      <c r="AK159" s="2"/>
      <c r="AL159" s="2"/>
      <c r="AM159" s="3"/>
      <c r="AN159" s="5"/>
      <c r="AO159" s="6"/>
      <c r="AP159" s="7"/>
      <c r="AQ159" s="3"/>
      <c r="AR159" s="5"/>
      <c r="AS159" s="6"/>
      <c r="AT159" s="7"/>
      <c r="AU159" s="3"/>
      <c r="AV159" s="5"/>
      <c r="AW159" s="6"/>
      <c r="AX159" s="7"/>
      <c r="AY159" s="2"/>
      <c r="AZ159" s="2"/>
      <c r="BA159" s="2"/>
      <c r="BB159" s="2"/>
      <c r="BC159" s="3"/>
      <c r="BD159" s="5"/>
      <c r="BE159" s="6"/>
      <c r="BF159" s="7"/>
      <c r="BG159" s="3"/>
      <c r="BH159" s="5"/>
      <c r="BI159" s="6"/>
      <c r="BJ159" s="7"/>
      <c r="BK159" s="3"/>
      <c r="BL159" s="5"/>
      <c r="BM159" s="6"/>
      <c r="BN159" s="7"/>
      <c r="BO159" s="2"/>
      <c r="BP159" s="2"/>
      <c r="BQ159" s="2"/>
      <c r="BR159" s="2"/>
    </row>
    <row r="160" spans="2:70" ht="18.75" customHeight="1" x14ac:dyDescent="0.25">
      <c r="B160" s="8" t="s">
        <v>563</v>
      </c>
      <c r="C160" s="3" t="s">
        <v>563</v>
      </c>
      <c r="D160" s="3"/>
      <c r="E160" s="5" t="s">
        <v>564</v>
      </c>
      <c r="F160" s="5" t="s">
        <v>565</v>
      </c>
      <c r="G160" s="6" t="str">
        <f ca="1">IFERROR(__xludf.DUMMYFUNCTION("GOOGLETRANSLATE(B160,""ja"",""ko"")"),"TO 두꺼운 샐러드 우동")</f>
        <v>TO 두꺼운 샐러드 우동</v>
      </c>
      <c r="H160" s="6"/>
      <c r="I160" s="7" t="str">
        <f ca="1">IFERROR(__xludf.DUMMYFUNCTION("GOOGLETRANSLATE(B160,""ja"",""zh"")"),"特厚沙拉乌冬面")</f>
        <v>特厚沙拉乌冬面</v>
      </c>
      <c r="J160" s="7"/>
      <c r="K160" s="3" t="s">
        <v>563</v>
      </c>
      <c r="L160" s="3"/>
      <c r="M160" s="5" t="s">
        <v>564</v>
      </c>
      <c r="N160" s="5" t="s">
        <v>565</v>
      </c>
      <c r="O160" s="6" t="str">
        <f ca="1">IFERROR(__xludf.DUMMYFUNCTION("GOOGLETRANSLATE(B160,""ja"",""ko"")"),"TO 두꺼운 샐러드 우동")</f>
        <v>TO 두꺼운 샐러드 우동</v>
      </c>
      <c r="P160" s="6"/>
      <c r="Q160" s="7" t="str">
        <f ca="1">IFERROR(__xludf.DUMMYFUNCTION("GOOGLETRANSLATE(B160,""ja"",""zh"")"),"特厚沙拉乌冬面")</f>
        <v>特厚沙拉乌冬面</v>
      </c>
      <c r="R160" s="7"/>
      <c r="S160" s="3" t="s">
        <v>563</v>
      </c>
      <c r="T160" s="5" t="str">
        <f ca="1">IFERROR(__xludf.DUMMYFUNCTION("GOOGLETRANSLATE(S160,""ja"",""en"")"),"TO extra thick salad udon")</f>
        <v>TO extra thick salad udon</v>
      </c>
      <c r="U160" s="6" t="str">
        <f ca="1">IFERROR(__xludf.DUMMYFUNCTION("GOOGLETRANSLATE(S160,""ja"",""ko"")"),"TO 두꺼운 샐러드 우동")</f>
        <v>TO 두꺼운 샐러드 우동</v>
      </c>
      <c r="V160" s="7" t="str">
        <f ca="1">IFERROR(__xludf.DUMMYFUNCTION("GOOGLETRANSLATE(S160,""ja"",""zh"")"),"特厚沙拉乌冬面")</f>
        <v>特厚沙拉乌冬面</v>
      </c>
      <c r="W160" s="3" t="s">
        <v>264</v>
      </c>
      <c r="X160" s="5" t="str">
        <f ca="1">IFERROR(__xludf.DUMMYFUNCTION("GOOGLETRANSLATE(W160,""ja"",""en"")"),"dressing")</f>
        <v>dressing</v>
      </c>
      <c r="Y160" s="6" t="str">
        <f ca="1">IFERROR(__xludf.DUMMYFUNCTION("GOOGLETRANSLATE(W160,""ja"",""ko"")"),"드레싱")</f>
        <v>드레싱</v>
      </c>
      <c r="Z160" s="7" t="str">
        <f ca="1">IFERROR(__xludf.DUMMYFUNCTION("GOOGLETRANSLATE(W160,""ja"",""zh"")"),"敷料")</f>
        <v>敷料</v>
      </c>
      <c r="AA160" s="3" t="s">
        <v>266</v>
      </c>
      <c r="AB160" s="5" t="str">
        <f ca="1">IFERROR(__xludf.DUMMYFUNCTION("GOOGLETRANSLATE(AA160,""ja"",""en"")"),"Grated vegetables (soy sauce)")</f>
        <v>Grated vegetables (soy sauce)</v>
      </c>
      <c r="AC160" s="6" t="str">
        <f ca="1">IFERROR(__xludf.DUMMYFUNCTION("GOOGLETRANSLATE(AA160,""ja"",""ko"")"),"스리 오로시 야채 (간장")</f>
        <v>스리 오로시 야채 (간장</v>
      </c>
      <c r="AD160" s="7" t="str">
        <f ca="1">IFERROR(__xludf.DUMMYFUNCTION("GOOGLETRANSLATE(AA160,""ja"",""zh"")"),"蔬菜碎（酱油）")</f>
        <v>蔬菜碎（酱油）</v>
      </c>
      <c r="AE160" s="3" t="s">
        <v>566</v>
      </c>
      <c r="AF160" s="5" t="str">
        <f ca="1">IFERROR(__xludf.DUMMYFUNCTION("GOOGLETRANSLATE(AE160,""ja"",""en"")"),"edible sesame dressing")</f>
        <v>edible sesame dressing</v>
      </c>
      <c r="AG160" s="6" t="str">
        <f ca="1">IFERROR(__xludf.DUMMYFUNCTION("GOOGLETRANSLATE(AE160,""ja"",""ko"")"),"먹는 참깨")</f>
        <v>먹는 참깨</v>
      </c>
      <c r="AH160" s="7" t="str">
        <f ca="1">IFERROR(__xludf.DUMMYFUNCTION("GOOGLETRANSLATE(AE160,""ja"",""zh"")"),"食用芝麻酱")</f>
        <v>食用芝麻酱</v>
      </c>
      <c r="AI160" s="2"/>
      <c r="AJ160" s="2"/>
      <c r="AK160" s="2"/>
      <c r="AL160" s="2"/>
      <c r="AM160" s="3"/>
      <c r="AN160" s="5"/>
      <c r="AO160" s="6"/>
      <c r="AP160" s="7"/>
      <c r="AQ160" s="3"/>
      <c r="AR160" s="5"/>
      <c r="AS160" s="6"/>
      <c r="AT160" s="7"/>
      <c r="AU160" s="3"/>
      <c r="AV160" s="5"/>
      <c r="AW160" s="6"/>
      <c r="AX160" s="7"/>
      <c r="AY160" s="2"/>
      <c r="AZ160" s="2"/>
      <c r="BA160" s="2"/>
      <c r="BB160" s="2"/>
      <c r="BC160" s="3"/>
      <c r="BD160" s="5"/>
      <c r="BE160" s="6"/>
      <c r="BF160" s="7"/>
      <c r="BG160" s="3"/>
      <c r="BH160" s="5"/>
      <c r="BI160" s="6"/>
      <c r="BJ160" s="7"/>
      <c r="BK160" s="3"/>
      <c r="BL160" s="5"/>
      <c r="BM160" s="6"/>
      <c r="BN160" s="7"/>
      <c r="BO160" s="2"/>
      <c r="BP160" s="2"/>
      <c r="BQ160" s="2"/>
      <c r="BR160" s="2"/>
    </row>
    <row r="161" spans="2:70" ht="18.75" customHeight="1" x14ac:dyDescent="0.25">
      <c r="B161" s="8" t="s">
        <v>567</v>
      </c>
      <c r="C161" s="3" t="s">
        <v>568</v>
      </c>
      <c r="D161" s="3" t="s">
        <v>569</v>
      </c>
      <c r="E161" s="5" t="s">
        <v>564</v>
      </c>
      <c r="F161" s="5" t="s">
        <v>502</v>
      </c>
      <c r="G161" s="6" t="str">
        <f ca="1">IFERROR(__xludf.DUMMYFUNCTION("GOOGLETRANSLATE(B161,""ja"",""ko"")"),"TO 블루 노리 샐러드 우동")</f>
        <v>TO 블루 노리 샐러드 우동</v>
      </c>
      <c r="H161" s="6"/>
      <c r="I161" s="7" t="str">
        <f ca="1">IFERROR(__xludf.DUMMYFUNCTION("GOOGLETRANSLATE(B161,""ja"",""zh"")"),"TO 绿海藻沙拉乌冬面")</f>
        <v>TO 绿海藻沙拉乌冬面</v>
      </c>
      <c r="J161" s="7"/>
      <c r="K161" s="3" t="s">
        <v>568</v>
      </c>
      <c r="L161" s="3" t="s">
        <v>569</v>
      </c>
      <c r="M161" s="5" t="s">
        <v>564</v>
      </c>
      <c r="N161" s="5" t="s">
        <v>502</v>
      </c>
      <c r="O161" s="6" t="str">
        <f ca="1">IFERROR(__xludf.DUMMYFUNCTION("GOOGLETRANSLATE(B161,""ja"",""ko"")"),"TO 블루 노리 샐러드 우동")</f>
        <v>TO 블루 노리 샐러드 우동</v>
      </c>
      <c r="P161" s="6"/>
      <c r="Q161" s="7" t="str">
        <f ca="1">IFERROR(__xludf.DUMMYFUNCTION("GOOGLETRANSLATE(B161,""ja"",""zh"")"),"TO 绿海藻沙拉乌冬面")</f>
        <v>TO 绿海藻沙拉乌冬面</v>
      </c>
      <c r="R161" s="7"/>
      <c r="S161" s="3" t="s">
        <v>568</v>
      </c>
      <c r="T161" s="5" t="str">
        <f ca="1">IFERROR(__xludf.DUMMYFUNCTION("GOOGLETRANSLATE(S161,""ja"",""en"")"),"TO Aonori salad udon")</f>
        <v>TO Aonori salad udon</v>
      </c>
      <c r="U161" s="6" t="str">
        <f ca="1">IFERROR(__xludf.DUMMYFUNCTION("GOOGLETRANSLATE(S161,""ja"",""ko"")"),"TO 블루 샐러드 우도")</f>
        <v>TO 블루 샐러드 우도</v>
      </c>
      <c r="V161" s="7" t="str">
        <f ca="1">IFERROR(__xludf.DUMMYFUNCTION("GOOGLETRANSLATE(S161,""ja"",""zh"")"),"TO 青海沙拉乌冬面")</f>
        <v>TO 青海沙拉乌冬面</v>
      </c>
      <c r="W161" s="3" t="s">
        <v>264</v>
      </c>
      <c r="X161" s="5" t="str">
        <f ca="1">IFERROR(__xludf.DUMMYFUNCTION("GOOGLETRANSLATE(W161,""ja"",""en"")"),"dressing")</f>
        <v>dressing</v>
      </c>
      <c r="Y161" s="6" t="str">
        <f ca="1">IFERROR(__xludf.DUMMYFUNCTION("GOOGLETRANSLATE(W161,""ja"",""ko"")"),"드레싱")</f>
        <v>드레싱</v>
      </c>
      <c r="Z161" s="7" t="str">
        <f ca="1">IFERROR(__xludf.DUMMYFUNCTION("GOOGLETRANSLATE(W161,""ja"",""zh"")"),"敷料")</f>
        <v>敷料</v>
      </c>
      <c r="AA161" s="3" t="s">
        <v>266</v>
      </c>
      <c r="AB161" s="5" t="str">
        <f ca="1">IFERROR(__xludf.DUMMYFUNCTION("GOOGLETRANSLATE(AA161,""ja"",""en"")"),"Grated vegetables (soy sauce)")</f>
        <v>Grated vegetables (soy sauce)</v>
      </c>
      <c r="AC161" s="6" t="str">
        <f ca="1">IFERROR(__xludf.DUMMYFUNCTION("GOOGLETRANSLATE(AA161,""ja"",""ko"")"),"스리 오로시 야채 (간장")</f>
        <v>스리 오로시 야채 (간장</v>
      </c>
      <c r="AD161" s="7" t="str">
        <f ca="1">IFERROR(__xludf.DUMMYFUNCTION("GOOGLETRANSLATE(AA161,""ja"",""zh"")"),"蔬菜碎（酱油）")</f>
        <v>蔬菜碎（酱油）</v>
      </c>
      <c r="AE161" s="3" t="s">
        <v>566</v>
      </c>
      <c r="AF161" s="5" t="str">
        <f ca="1">IFERROR(__xludf.DUMMYFUNCTION("GOOGLETRANSLATE(AE161,""ja"",""en"")"),"edible sesame dressing")</f>
        <v>edible sesame dressing</v>
      </c>
      <c r="AG161" s="6" t="str">
        <f ca="1">IFERROR(__xludf.DUMMYFUNCTION("GOOGLETRANSLATE(AE161,""ja"",""ko"")"),"먹는 참깨")</f>
        <v>먹는 참깨</v>
      </c>
      <c r="AH161" s="7" t="str">
        <f ca="1">IFERROR(__xludf.DUMMYFUNCTION("GOOGLETRANSLATE(AE161,""ja"",""zh"")"),"食用芝麻酱")</f>
        <v>食用芝麻酱</v>
      </c>
      <c r="AI161" s="2"/>
      <c r="AJ161" s="2"/>
      <c r="AK161" s="2"/>
      <c r="AL161" s="2"/>
      <c r="AM161" s="3"/>
      <c r="AN161" s="5"/>
      <c r="AO161" s="6"/>
      <c r="AP161" s="7"/>
      <c r="AQ161" s="3"/>
      <c r="AR161" s="5"/>
      <c r="AS161" s="6"/>
      <c r="AT161" s="7"/>
      <c r="AU161" s="3"/>
      <c r="AV161" s="5"/>
      <c r="AW161" s="6"/>
      <c r="AX161" s="7"/>
      <c r="AY161" s="2"/>
      <c r="AZ161" s="2"/>
      <c r="BA161" s="2"/>
      <c r="BB161" s="2"/>
      <c r="BC161" s="3"/>
      <c r="BD161" s="5"/>
      <c r="BE161" s="6"/>
      <c r="BF161" s="7"/>
      <c r="BG161" s="3"/>
      <c r="BH161" s="5"/>
      <c r="BI161" s="6"/>
      <c r="BJ161" s="7"/>
      <c r="BK161" s="3"/>
      <c r="BL161" s="5"/>
      <c r="BM161" s="6"/>
      <c r="BN161" s="7"/>
      <c r="BO161" s="2"/>
      <c r="BP161" s="2"/>
      <c r="BQ161" s="2"/>
      <c r="BR161" s="2"/>
    </row>
    <row r="162" spans="2:70" ht="18.75" customHeight="1" x14ac:dyDescent="0.25">
      <c r="B162" s="8" t="s">
        <v>570</v>
      </c>
      <c r="C162" s="3" t="s">
        <v>571</v>
      </c>
      <c r="D162" s="3" t="s">
        <v>572</v>
      </c>
      <c r="E162" s="5" t="s">
        <v>573</v>
      </c>
      <c r="F162" s="5" t="s">
        <v>574</v>
      </c>
      <c r="G162" s="6" t="str">
        <f ca="1">IFERROR(__xludf.DUMMYFUNCTION("GOOGLETRANSLATE(B162,""ja"",""ko"")"),"어린이 밥 세트")</f>
        <v>어린이 밥 세트</v>
      </c>
      <c r="H162" s="6"/>
      <c r="I162" s="7" t="str">
        <f ca="1">IFERROR(__xludf.DUMMYFUNCTION("GOOGLETRANSLATE(B162,""ja"",""zh"")"),"儿童餐套餐")</f>
        <v>儿童餐套餐</v>
      </c>
      <c r="J162" s="7"/>
      <c r="K162" s="3" t="s">
        <v>571</v>
      </c>
      <c r="L162" s="3" t="s">
        <v>572</v>
      </c>
      <c r="M162" s="5" t="s">
        <v>573</v>
      </c>
      <c r="N162" s="5" t="s">
        <v>574</v>
      </c>
      <c r="O162" s="6" t="str">
        <f ca="1">IFERROR(__xludf.DUMMYFUNCTION("GOOGLETRANSLATE(B162,""ja"",""ko"")"),"어린이 밥 세트")</f>
        <v>어린이 밥 세트</v>
      </c>
      <c r="P162" s="6"/>
      <c r="Q162" s="7" t="str">
        <f ca="1">IFERROR(__xludf.DUMMYFUNCTION("GOOGLETRANSLATE(B162,""ja"",""zh"")"),"儿童餐套餐")</f>
        <v>儿童餐套餐</v>
      </c>
      <c r="R162" s="7"/>
      <c r="S162" s="3" t="s">
        <v>571</v>
      </c>
      <c r="T162" s="5" t="str">
        <f ca="1">IFERROR(__xludf.DUMMYFUNCTION("GOOGLETRANSLATE(S162,""ja"",""en"")"),"Children meal set")</f>
        <v>Children meal set</v>
      </c>
      <c r="U162" s="6" t="str">
        <f ca="1">IFERROR(__xludf.DUMMYFUNCTION("GOOGLETRANSLATE(S162,""ja"",""ko"")"),"어린이 밥 셋")</f>
        <v>어린이 밥 셋</v>
      </c>
      <c r="V162" s="7" t="str">
        <f ca="1">IFERROR(__xludf.DUMMYFUNCTION("GOOGLETRANSLATE(S162,""ja"",""zh"")"),"儿童餐套餐")</f>
        <v>儿童餐套餐</v>
      </c>
      <c r="W162" s="3"/>
      <c r="X162" s="5"/>
      <c r="Y162" s="6"/>
      <c r="Z162" s="7"/>
      <c r="AA162" s="3"/>
      <c r="AB162" s="5"/>
      <c r="AC162" s="6"/>
      <c r="AD162" s="7"/>
      <c r="AE162" s="3"/>
      <c r="AF162" s="5"/>
      <c r="AG162" s="6"/>
      <c r="AH162" s="7"/>
      <c r="AI162" s="2"/>
      <c r="AJ162" s="2"/>
      <c r="AK162" s="2"/>
      <c r="AL162" s="2"/>
      <c r="AM162" s="3"/>
      <c r="AN162" s="5"/>
      <c r="AO162" s="6"/>
      <c r="AP162" s="7"/>
      <c r="AQ162" s="3"/>
      <c r="AR162" s="5"/>
      <c r="AS162" s="6"/>
      <c r="AT162" s="7"/>
      <c r="AU162" s="3"/>
      <c r="AV162" s="5"/>
      <c r="AW162" s="6"/>
      <c r="AX162" s="7"/>
      <c r="AY162" s="2"/>
      <c r="AZ162" s="2"/>
      <c r="BA162" s="2"/>
      <c r="BB162" s="2"/>
      <c r="BC162" s="3"/>
      <c r="BD162" s="5"/>
      <c r="BE162" s="6"/>
      <c r="BF162" s="7"/>
      <c r="BG162" s="3"/>
      <c r="BH162" s="5"/>
      <c r="BI162" s="6"/>
      <c r="BJ162" s="7"/>
      <c r="BK162" s="3"/>
      <c r="BL162" s="5"/>
      <c r="BM162" s="6"/>
      <c r="BN162" s="7"/>
      <c r="BO162" s="2"/>
      <c r="BP162" s="2"/>
      <c r="BQ162" s="2"/>
      <c r="BR162" s="2"/>
    </row>
    <row r="163" spans="2:70" ht="18.75" customHeight="1" x14ac:dyDescent="0.25">
      <c r="B163" s="8" t="s">
        <v>575</v>
      </c>
      <c r="C163" s="3" t="s">
        <v>576</v>
      </c>
      <c r="D163" s="3" t="s">
        <v>559</v>
      </c>
      <c r="E163" s="5" t="s">
        <v>481</v>
      </c>
      <c r="F163" s="5" t="s">
        <v>558</v>
      </c>
      <c r="G163" s="6" t="str">
        <f ca="1">IFERROR(__xludf.DUMMYFUNCTION("GOOGLETRANSLATE(B163,""ja"",""ko"")"),"테이크 아웃 마제 밥 주먹밥")</f>
        <v>테이크 아웃 마제 밥 주먹밥</v>
      </c>
      <c r="H163" s="6"/>
      <c r="I163" s="7" t="str">
        <f ca="1">IFERROR(__xludf.DUMMYFUNCTION("GOOGLETRANSLATE(B163,""ja"",""zh"")"),"外卖什锦饭团")</f>
        <v>外卖什锦饭团</v>
      </c>
      <c r="J163" s="7"/>
      <c r="K163" s="3" t="s">
        <v>576</v>
      </c>
      <c r="L163" s="3" t="s">
        <v>559</v>
      </c>
      <c r="M163" s="5" t="s">
        <v>481</v>
      </c>
      <c r="N163" s="5" t="s">
        <v>558</v>
      </c>
      <c r="O163" s="6" t="str">
        <f ca="1">IFERROR(__xludf.DUMMYFUNCTION("GOOGLETRANSLATE(B163,""ja"",""ko"")"),"테이크 아웃 마제 밥 주먹밥")</f>
        <v>테이크 아웃 마제 밥 주먹밥</v>
      </c>
      <c r="P163" s="6"/>
      <c r="Q163" s="7" t="str">
        <f ca="1">IFERROR(__xludf.DUMMYFUNCTION("GOOGLETRANSLATE(B163,""ja"",""zh"")"),"外卖什锦饭团")</f>
        <v>外卖什锦饭团</v>
      </c>
      <c r="R163" s="7"/>
      <c r="S163" s="3" t="s">
        <v>577</v>
      </c>
      <c r="T163" s="5" t="str">
        <f ca="1">IFERROR(__xludf.DUMMYFUNCTION("GOOGLETRANSLATE(S163,""ja"",""en"")"),"Takeout Mazego")</f>
        <v>Takeout Mazego</v>
      </c>
      <c r="U163" s="6" t="str">
        <f ca="1">IFERROR(__xludf.DUMMYFUNCTION("GOOGLETRANSLATE(S163,""ja"",""ko"")"),"테이크 아웃")</f>
        <v>테이크 아웃</v>
      </c>
      <c r="V163" s="7" t="str">
        <f ca="1">IFERROR(__xludf.DUMMYFUNCTION("GOOGLETRANSLATE(S163,""ja"",""zh"")"),"外卖迷宫")</f>
        <v>外卖迷宫</v>
      </c>
      <c r="W163" s="3"/>
      <c r="X163" s="5"/>
      <c r="Y163" s="6"/>
      <c r="Z163" s="7"/>
      <c r="AA163" s="3"/>
      <c r="AB163" s="5"/>
      <c r="AC163" s="6"/>
      <c r="AD163" s="7"/>
      <c r="AE163" s="3"/>
      <c r="AF163" s="5"/>
      <c r="AG163" s="6"/>
      <c r="AH163" s="7"/>
      <c r="AI163" s="2"/>
      <c r="AJ163" s="2"/>
      <c r="AK163" s="2"/>
      <c r="AL163" s="2"/>
      <c r="AM163" s="3"/>
      <c r="AN163" s="5"/>
      <c r="AO163" s="6"/>
      <c r="AP163" s="7"/>
      <c r="AQ163" s="3"/>
      <c r="AR163" s="5"/>
      <c r="AS163" s="6"/>
      <c r="AT163" s="7"/>
      <c r="AU163" s="3"/>
      <c r="AV163" s="5"/>
      <c r="AW163" s="6"/>
      <c r="AX163" s="7"/>
      <c r="AY163" s="2"/>
      <c r="AZ163" s="2"/>
      <c r="BA163" s="2"/>
      <c r="BB163" s="2"/>
      <c r="BC163" s="3"/>
      <c r="BD163" s="5"/>
      <c r="BE163" s="6"/>
      <c r="BF163" s="7"/>
      <c r="BG163" s="3"/>
      <c r="BH163" s="5"/>
      <c r="BI163" s="6"/>
      <c r="BJ163" s="7"/>
      <c r="BK163" s="3"/>
      <c r="BL163" s="5"/>
      <c r="BM163" s="6"/>
      <c r="BN163" s="7"/>
      <c r="BO163" s="2"/>
      <c r="BP163" s="2"/>
      <c r="BQ163" s="2"/>
      <c r="BR163" s="2"/>
    </row>
    <row r="164" spans="2:70" ht="18.75" customHeight="1" x14ac:dyDescent="0.25">
      <c r="B164" s="8" t="s">
        <v>578</v>
      </c>
      <c r="C164" s="3" t="s">
        <v>578</v>
      </c>
      <c r="D164" s="3"/>
      <c r="E164" s="5" t="s">
        <v>579</v>
      </c>
      <c r="F164" s="5"/>
      <c r="G164" s="6" t="str">
        <f ca="1">IFERROR(__xludf.DUMMYFUNCTION("GOOGLETRANSLATE(B164,""ja"",""ko"")"),"어리석은 해물 튀김")</f>
        <v>어리석은 해물 튀김</v>
      </c>
      <c r="H164" s="6"/>
      <c r="I164" s="7" t="str">
        <f ca="1">IFERROR(__xludf.DUMMYFUNCTION("GOOGLETRANSLATE(B164,""ja"",""zh"")"),"油炸海鲜")</f>
        <v>油炸海鲜</v>
      </c>
      <c r="J164" s="7"/>
      <c r="K164" s="3" t="s">
        <v>578</v>
      </c>
      <c r="L164" s="3"/>
      <c r="M164" s="5" t="s">
        <v>579</v>
      </c>
      <c r="N164" s="5"/>
      <c r="O164" s="6" t="str">
        <f ca="1">IFERROR(__xludf.DUMMYFUNCTION("GOOGLETRANSLATE(B164,""ja"",""ko"")"),"어리석은 해물 튀김")</f>
        <v>어리석은 해물 튀김</v>
      </c>
      <c r="P164" s="6"/>
      <c r="Q164" s="7" t="str">
        <f ca="1">IFERROR(__xludf.DUMMYFUNCTION("GOOGLETRANSLATE(B164,""ja"",""zh"")"),"油炸海鲜")</f>
        <v>油炸海鲜</v>
      </c>
      <c r="R164" s="7"/>
      <c r="S164" s="3" t="s">
        <v>578</v>
      </c>
      <c r="T164" s="5" t="str">
        <f ca="1">IFERROR(__xludf.DUMMYFUNCTION("GOOGLETRANSLATE(S164,""ja"",""en"")"),"Deep fried seafood")</f>
        <v>Deep fried seafood</v>
      </c>
      <c r="U164" s="6" t="str">
        <f ca="1">IFERROR(__xludf.DUMMYFUNCTION("GOOGLETRANSLATE(S164,""ja"",""ko"")"),"어리석은 해물 튀김")</f>
        <v>어리석은 해물 튀김</v>
      </c>
      <c r="V164" s="7" t="str">
        <f ca="1">IFERROR(__xludf.DUMMYFUNCTION("GOOGLETRANSLATE(S164,""ja"",""zh"")"),"油炸海鲜")</f>
        <v>油炸海鲜</v>
      </c>
      <c r="W164" s="3"/>
      <c r="X164" s="5"/>
      <c r="Y164" s="6"/>
      <c r="Z164" s="7"/>
      <c r="AA164" s="3"/>
      <c r="AB164" s="5"/>
      <c r="AC164" s="6"/>
      <c r="AD164" s="7"/>
      <c r="AE164" s="3"/>
      <c r="AF164" s="5"/>
      <c r="AG164" s="6"/>
      <c r="AH164" s="7"/>
      <c r="AI164" s="2"/>
      <c r="AJ164" s="2"/>
      <c r="AK164" s="2"/>
      <c r="AL164" s="2"/>
      <c r="AM164" s="3"/>
      <c r="AN164" s="5"/>
      <c r="AO164" s="6"/>
      <c r="AP164" s="7"/>
      <c r="AQ164" s="3"/>
      <c r="AR164" s="5"/>
      <c r="AS164" s="6"/>
      <c r="AT164" s="7"/>
      <c r="AU164" s="3"/>
      <c r="AV164" s="5"/>
      <c r="AW164" s="6"/>
      <c r="AX164" s="7"/>
      <c r="AY164" s="2"/>
      <c r="AZ164" s="2"/>
      <c r="BA164" s="2"/>
      <c r="BB164" s="2"/>
      <c r="BC164" s="3"/>
      <c r="BD164" s="5"/>
      <c r="BE164" s="6"/>
      <c r="BF164" s="7"/>
      <c r="BG164" s="3"/>
      <c r="BH164" s="5"/>
      <c r="BI164" s="6"/>
      <c r="BJ164" s="7"/>
      <c r="BK164" s="3"/>
      <c r="BL164" s="5"/>
      <c r="BM164" s="6"/>
      <c r="BN164" s="7"/>
      <c r="BO164" s="2"/>
      <c r="BP164" s="2"/>
      <c r="BQ164" s="2"/>
      <c r="BR164" s="2"/>
    </row>
    <row r="165" spans="2:70" ht="18.75" customHeight="1" x14ac:dyDescent="0.25">
      <c r="B165" s="8" t="s">
        <v>580</v>
      </c>
      <c r="C165" s="3" t="s">
        <v>581</v>
      </c>
      <c r="D165" s="3" t="s">
        <v>582</v>
      </c>
      <c r="E165" s="5" t="s">
        <v>583</v>
      </c>
      <c r="F165" s="5"/>
      <c r="G165" s="6" t="str">
        <f ca="1">IFERROR(__xludf.DUMMYFUNCTION("GOOGLETRANSLATE(B165,""ja"",""ko"")"),"두꺼운 네바 토로나 메코 우동")</f>
        <v>두꺼운 네바 토로나 메코 우동</v>
      </c>
      <c r="H165" s="6"/>
      <c r="I165" s="7" t="str">
        <f ca="1">IFERROR(__xludf.DUMMYFUNCTION("GOOGLETRANSLATE(B165,""ja"",""zh"")"),"超厚粘性名字kodon")</f>
        <v>超厚粘性名字kodon</v>
      </c>
      <c r="J165" s="7"/>
      <c r="K165" s="3" t="s">
        <v>225</v>
      </c>
      <c r="L165" s="3" t="s">
        <v>584</v>
      </c>
      <c r="M165" s="5" t="s">
        <v>583</v>
      </c>
      <c r="N165" s="5"/>
      <c r="O165" s="6" t="str">
        <f ca="1">IFERROR(__xludf.DUMMYFUNCTION("GOOGLETRANSLATE(B165,""ja"",""ko"")"),"두꺼운 네바 토로나 메코 우동")</f>
        <v>두꺼운 네바 토로나 메코 우동</v>
      </c>
      <c r="P165" s="6"/>
      <c r="Q165" s="7" t="str">
        <f ca="1">IFERROR(__xludf.DUMMYFUNCTION("GOOGLETRANSLATE(B165,""ja"",""zh"")"),"超厚粘性名字kodon")</f>
        <v>超厚粘性名字kodon</v>
      </c>
      <c r="R165" s="7"/>
      <c r="S165" s="3" t="s">
        <v>585</v>
      </c>
      <c r="T165" s="5" t="str">
        <f ca="1">IFERROR(__xludf.DUMMYFUNCTION("GOOGLETRANSLATE(S165,""ja"",""en"")"),"Extra thick and sticky nameko")</f>
        <v>Extra thick and sticky nameko</v>
      </c>
      <c r="U165" s="6" t="str">
        <f ca="1">IFERROR(__xludf.DUMMYFUNCTION("GOOGLETRANSLATE(S165,""ja"",""ko"")"),"두꺼운 네바 토로 나메코")</f>
        <v>두꺼운 네바 토로 나메코</v>
      </c>
      <c r="V165" s="7" t="str">
        <f ca="1">IFERROR(__xludf.DUMMYFUNCTION("GOOGLETRANSLATE(S165,""ja"",""zh"")"),"超厚且粘滑的滑子")</f>
        <v>超厚且粘滑的滑子</v>
      </c>
      <c r="W165" s="3"/>
      <c r="X165" s="5"/>
      <c r="Y165" s="6"/>
      <c r="Z165" s="7"/>
      <c r="AA165" s="3"/>
      <c r="AB165" s="5"/>
      <c r="AC165" s="6"/>
      <c r="AD165" s="7"/>
      <c r="AE165" s="3"/>
      <c r="AF165" s="5"/>
      <c r="AG165" s="6"/>
      <c r="AH165" s="7"/>
      <c r="AI165" s="2"/>
      <c r="AJ165" s="2"/>
      <c r="AK165" s="2"/>
      <c r="AL165" s="2"/>
      <c r="AM165" s="3"/>
      <c r="AN165" s="5"/>
      <c r="AO165" s="6"/>
      <c r="AP165" s="7"/>
      <c r="AQ165" s="3"/>
      <c r="AR165" s="5"/>
      <c r="AS165" s="6"/>
      <c r="AT165" s="7"/>
      <c r="AU165" s="3"/>
      <c r="AV165" s="5"/>
      <c r="AW165" s="6"/>
      <c r="AX165" s="7"/>
      <c r="AY165" s="2"/>
      <c r="AZ165" s="2"/>
      <c r="BA165" s="2"/>
      <c r="BB165" s="2"/>
      <c r="BC165" s="3"/>
      <c r="BD165" s="5"/>
      <c r="BE165" s="6"/>
      <c r="BF165" s="7"/>
      <c r="BG165" s="3"/>
      <c r="BH165" s="5"/>
      <c r="BI165" s="6"/>
      <c r="BJ165" s="7"/>
      <c r="BK165" s="3"/>
      <c r="BL165" s="5"/>
      <c r="BM165" s="6"/>
      <c r="BN165" s="7"/>
      <c r="BO165" s="2"/>
      <c r="BP165" s="2"/>
      <c r="BQ165" s="2"/>
      <c r="BR165" s="2"/>
    </row>
    <row r="166" spans="2:70" ht="18.75" customHeight="1" x14ac:dyDescent="0.25">
      <c r="B166" s="8" t="s">
        <v>586</v>
      </c>
      <c r="C166" s="3" t="s">
        <v>235</v>
      </c>
      <c r="D166" s="3" t="s">
        <v>582</v>
      </c>
      <c r="E166" s="5" t="s">
        <v>587</v>
      </c>
      <c r="F166" s="5"/>
      <c r="G166" s="6" t="str">
        <f ca="1">IFERROR(__xludf.DUMMYFUNCTION("GOOGLETRANSLATE(B166,""ja"",""ko"")"),"블루 노리 네바 토로 나메코")</f>
        <v>블루 노리 네바 토로 나메코</v>
      </c>
      <c r="H166" s="6"/>
      <c r="I166" s="7" t="str">
        <f ca="1">IFERROR(__xludf.DUMMYFUNCTION("GOOGLETRANSLATE(B166,""ja"",""zh"")"),"滑子青典")</f>
        <v>滑子青典</v>
      </c>
      <c r="J166" s="7"/>
      <c r="K166" s="3" t="s">
        <v>235</v>
      </c>
      <c r="L166" s="3" t="s">
        <v>582</v>
      </c>
      <c r="M166" s="5" t="s">
        <v>587</v>
      </c>
      <c r="N166" s="5"/>
      <c r="O166" s="6" t="str">
        <f ca="1">IFERROR(__xludf.DUMMYFUNCTION("GOOGLETRANSLATE(B166,""ja"",""ko"")"),"블루 노리 네바 토로 나메코")</f>
        <v>블루 노리 네바 토로 나메코</v>
      </c>
      <c r="P166" s="6"/>
      <c r="Q166" s="7" t="str">
        <f ca="1">IFERROR(__xludf.DUMMYFUNCTION("GOOGLETRANSLATE(B166,""ja"",""zh"")"),"滑子青典")</f>
        <v>滑子青典</v>
      </c>
      <c r="R166" s="7"/>
      <c r="S166" s="3" t="s">
        <v>588</v>
      </c>
      <c r="T166" s="5" t="str">
        <f ca="1">IFERROR(__xludf.DUMMYFUNCTION("GOOGLETRANSLATE(S166,""ja"",""en"")"),"Blue seaweed mushroom nameko")</f>
        <v>Blue seaweed mushroom nameko</v>
      </c>
      <c r="U166" s="6" t="str">
        <f ca="1">IFERROR(__xludf.DUMMYFUNCTION("GOOGLETRANSLATE(S166,""ja"",""ko"")"),"블루 리네바 토로 나메코")</f>
        <v>블루 리네바 토로 나메코</v>
      </c>
      <c r="V166" s="7" t="str">
        <f ca="1">IFERROR(__xludf.DUMMYFUNCTION("GOOGLETRANSLATE(S166,""ja"",""zh"")"),"蓝色海藻蘑菇滑子")</f>
        <v>蓝色海藻蘑菇滑子</v>
      </c>
      <c r="W166" s="3"/>
      <c r="X166" s="5"/>
      <c r="Y166" s="6"/>
      <c r="Z166" s="7"/>
      <c r="AA166" s="3"/>
      <c r="AB166" s="5"/>
      <c r="AC166" s="6"/>
      <c r="AD166" s="7"/>
      <c r="AE166" s="3"/>
      <c r="AF166" s="5"/>
      <c r="AG166" s="6"/>
      <c r="AH166" s="7"/>
      <c r="AI166" s="2"/>
      <c r="AJ166" s="2"/>
      <c r="AK166" s="2"/>
      <c r="AL166" s="2"/>
      <c r="AM166" s="3"/>
      <c r="AN166" s="5"/>
      <c r="AO166" s="6"/>
      <c r="AP166" s="7"/>
      <c r="AQ166" s="3"/>
      <c r="AR166" s="5"/>
      <c r="AS166" s="6"/>
      <c r="AT166" s="7"/>
      <c r="AU166" s="3"/>
      <c r="AV166" s="5"/>
      <c r="AW166" s="6"/>
      <c r="AX166" s="7"/>
      <c r="AY166" s="2"/>
      <c r="AZ166" s="2"/>
      <c r="BA166" s="2"/>
      <c r="BB166" s="2"/>
      <c r="BC166" s="3"/>
      <c r="BD166" s="5"/>
      <c r="BE166" s="6"/>
      <c r="BF166" s="7"/>
      <c r="BG166" s="3"/>
      <c r="BH166" s="5"/>
      <c r="BI166" s="6"/>
      <c r="BJ166" s="7"/>
      <c r="BK166" s="3"/>
      <c r="BL166" s="5"/>
      <c r="BM166" s="6"/>
      <c r="BN166" s="7"/>
      <c r="BO166" s="2"/>
      <c r="BP166" s="2"/>
      <c r="BQ166" s="2"/>
      <c r="BR166" s="2"/>
    </row>
    <row r="167" spans="2:70" ht="18.75" customHeight="1" x14ac:dyDescent="0.25">
      <c r="B167" s="8" t="s">
        <v>589</v>
      </c>
      <c r="C167" s="3" t="s">
        <v>590</v>
      </c>
      <c r="D167" s="3" t="s">
        <v>591</v>
      </c>
      <c r="E167" s="5" t="s">
        <v>592</v>
      </c>
      <c r="F167" s="5"/>
      <c r="G167" s="6" t="str">
        <f ca="1">IFERROR(__xludf.DUMMYFUNCTION("GOOGLETRANSLATE(B167,""ja"",""ko"")"),"자쿠자쿠 우엉의 튀김")</f>
        <v>자쿠자쿠 우엉의 튀김</v>
      </c>
      <c r="H167" s="6"/>
      <c r="I167" s="7" t="str">
        <f ca="1">IFERROR(__xludf.DUMMYFUNCTION("GOOGLETRANSLATE(B167,""ja"",""zh"")"),"炸脆脆的牛蒡根")</f>
        <v>炸脆脆的牛蒡根</v>
      </c>
      <c r="J167" s="7"/>
      <c r="K167" s="3" t="s">
        <v>590</v>
      </c>
      <c r="L167" s="3" t="s">
        <v>591</v>
      </c>
      <c r="M167" s="5" t="s">
        <v>592</v>
      </c>
      <c r="N167" s="5"/>
      <c r="O167" s="6" t="str">
        <f ca="1">IFERROR(__xludf.DUMMYFUNCTION("GOOGLETRANSLATE(B167,""ja"",""ko"")"),"자쿠자쿠 우엉의 튀김")</f>
        <v>자쿠자쿠 우엉의 튀김</v>
      </c>
      <c r="P167" s="6"/>
      <c r="Q167" s="7" t="str">
        <f ca="1">IFERROR(__xludf.DUMMYFUNCTION("GOOGLETRANSLATE(B167,""ja"",""zh"")"),"炸脆脆的牛蒡根")</f>
        <v>炸脆脆的牛蒡根</v>
      </c>
      <c r="R167" s="7"/>
      <c r="S167" s="3" t="s">
        <v>593</v>
      </c>
      <c r="T167" s="5" t="str">
        <f ca="1">IFERROR(__xludf.DUMMYFUNCTION("GOOGLETRANSLATE(S167,""ja"",""en"")"),"Crunchy burdock kakiage")</f>
        <v>Crunchy burdock kakiage</v>
      </c>
      <c r="U167" s="6" t="str">
        <f ca="1">IFERROR(__xludf.DUMMYFUNCTION("GOOGLETRANSLATE(S167,""ja"",""ko"")"),"자쿠 자쿠 우보 카키")</f>
        <v>자쿠 자쿠 우보 카키</v>
      </c>
      <c r="V167" s="7" t="str">
        <f ca="1">IFERROR(__xludf.DUMMYFUNCTION("GOOGLETRANSLATE(S167,""ja"",""zh"")"),"脆脆的牛蒡炸薯条")</f>
        <v>脆脆的牛蒡炸薯条</v>
      </c>
      <c r="W167" s="3"/>
      <c r="X167" s="5"/>
      <c r="Y167" s="6"/>
      <c r="Z167" s="7"/>
      <c r="AA167" s="3"/>
      <c r="AB167" s="5"/>
      <c r="AC167" s="6"/>
      <c r="AD167" s="7"/>
      <c r="AE167" s="3"/>
      <c r="AF167" s="5"/>
      <c r="AG167" s="6"/>
      <c r="AH167" s="7"/>
      <c r="AI167" s="2"/>
      <c r="AJ167" s="2"/>
      <c r="AK167" s="2"/>
      <c r="AL167" s="2"/>
      <c r="AM167" s="3"/>
      <c r="AN167" s="5"/>
      <c r="AO167" s="6"/>
      <c r="AP167" s="7"/>
      <c r="AQ167" s="3"/>
      <c r="AR167" s="5"/>
      <c r="AS167" s="6"/>
      <c r="AT167" s="7"/>
      <c r="AU167" s="3"/>
      <c r="AV167" s="5"/>
      <c r="AW167" s="6"/>
      <c r="AX167" s="7"/>
      <c r="AY167" s="2"/>
      <c r="AZ167" s="2"/>
      <c r="BA167" s="2"/>
      <c r="BB167" s="2"/>
      <c r="BC167" s="3"/>
      <c r="BD167" s="5"/>
      <c r="BE167" s="6"/>
      <c r="BF167" s="7"/>
      <c r="BG167" s="3"/>
      <c r="BH167" s="5"/>
      <c r="BI167" s="6"/>
      <c r="BJ167" s="7"/>
      <c r="BK167" s="3"/>
      <c r="BL167" s="5"/>
      <c r="BM167" s="6"/>
      <c r="BN167" s="7"/>
      <c r="BO167" s="2"/>
      <c r="BP167" s="2"/>
      <c r="BQ167" s="2"/>
      <c r="BR167" s="2"/>
    </row>
    <row r="168" spans="2:70" ht="18.75" customHeight="1" x14ac:dyDescent="0.25">
      <c r="B168" s="8" t="s">
        <v>594</v>
      </c>
      <c r="C168" s="3" t="s">
        <v>594</v>
      </c>
      <c r="D168" s="3"/>
      <c r="E168" s="5" t="s">
        <v>595</v>
      </c>
      <c r="F168" s="5"/>
      <c r="G168" s="6" t="str">
        <f ca="1">IFERROR(__xludf.DUMMYFUNCTION("GOOGLETRANSLATE(B168,""ja"",""ko"")"),"토리 미마 덮밥")</f>
        <v>토리 미마 덮밥</v>
      </c>
      <c r="H168" s="6"/>
      <c r="I168" s="7" t="str">
        <f ca="1">IFERROR(__xludf.DUMMYFUNCTION("GOOGLETRANSLATE(B168,""ja"",""zh"")"),"鸡汤碗")</f>
        <v>鸡汤碗</v>
      </c>
      <c r="J168" s="7"/>
      <c r="K168" s="3" t="s">
        <v>594</v>
      </c>
      <c r="L168" s="3"/>
      <c r="M168" s="5" t="s">
        <v>595</v>
      </c>
      <c r="N168" s="5"/>
      <c r="O168" s="6" t="str">
        <f ca="1">IFERROR(__xludf.DUMMYFUNCTION("GOOGLETRANSLATE(B168,""ja"",""ko"")"),"토리 미마 덮밥")</f>
        <v>토리 미마 덮밥</v>
      </c>
      <c r="P168" s="6"/>
      <c r="Q168" s="7" t="str">
        <f ca="1">IFERROR(__xludf.DUMMYFUNCTION("GOOGLETRANSLATE(B168,""ja"",""zh"")"),"鸡汤碗")</f>
        <v>鸡汤碗</v>
      </c>
      <c r="R168" s="7"/>
      <c r="S168" s="3" t="s">
        <v>594</v>
      </c>
      <c r="T168" s="5" t="str">
        <f ca="1">IFERROR(__xludf.DUMMYFUNCTION("GOOGLETRANSLATE(S168,""ja"",""en"")"),"Chicken soup bowl")</f>
        <v>Chicken soup bowl</v>
      </c>
      <c r="U168" s="6" t="str">
        <f ca="1">IFERROR(__xludf.DUMMYFUNCTION("GOOGLETRANSLATE(S168,""ja"",""ko"")"),"토리 미마 덮밥")</f>
        <v>토리 미마 덮밥</v>
      </c>
      <c r="V168" s="7" t="str">
        <f ca="1">IFERROR(__xludf.DUMMYFUNCTION("GOOGLETRANSLATE(S168,""ja"",""zh"")"),"鸡汤碗")</f>
        <v>鸡汤碗</v>
      </c>
      <c r="W168" s="3" t="s">
        <v>437</v>
      </c>
      <c r="X168" s="5" t="str">
        <f ca="1">IFERROR(__xludf.DUMMYFUNCTION("GOOGLETRANSLATE(W168,""ja"",""en"")"),"Sauce")</f>
        <v>Sauce</v>
      </c>
      <c r="Y168" s="6" t="str">
        <f ca="1">IFERROR(__xludf.DUMMYFUNCTION("GOOGLETRANSLATE(W168,""ja"",""ko"")"),"양념")</f>
        <v>양념</v>
      </c>
      <c r="Z168" s="7" t="str">
        <f ca="1">IFERROR(__xludf.DUMMYFUNCTION("GOOGLETRANSLATE(W168,""ja"",""zh"")"),"酱")</f>
        <v>酱</v>
      </c>
      <c r="AA168" s="3" t="s">
        <v>596</v>
      </c>
      <c r="AB168" s="5" t="str">
        <f ca="1">IFERROR(__xludf.DUMMYFUNCTION("GOOGLETRANSLATE(AA168,""ja"",""en"")"),"soy sauce sauce")</f>
        <v>soy sauce sauce</v>
      </c>
      <c r="AC168" s="6" t="str">
        <f ca="1">IFERROR(__xludf.DUMMYFUNCTION("GOOGLETRANSLATE(AA168,""ja"",""ko"")"),"간장 누구")</f>
        <v>간장 누구</v>
      </c>
      <c r="AD168" s="7" t="str">
        <f ca="1">IFERROR(__xludf.DUMMYFUNCTION("GOOGLETRANSLATE(AA168,""ja"",""zh"")"),"酱油 酱油")</f>
        <v>酱油 酱油</v>
      </c>
      <c r="AE168" s="3" t="s">
        <v>438</v>
      </c>
      <c r="AF168" s="5" t="str">
        <f ca="1">IFERROR(__xludf.DUMMYFUNCTION("GOOGLETRANSLATE(AE168,""ja"",""en"")"),"salt sauce")</f>
        <v>salt sauce</v>
      </c>
      <c r="AG168" s="6" t="str">
        <f ca="1">IFERROR(__xludf.DUMMYFUNCTION("GOOGLETRANSLATE(AE168,""ja"",""ko"")"),"소금 누구")</f>
        <v>소금 누구</v>
      </c>
      <c r="AH168" s="7" t="str">
        <f ca="1">IFERROR(__xludf.DUMMYFUNCTION("GOOGLETRANSLATE(AE168,""ja"",""zh"")"),"盐酱")</f>
        <v>盐酱</v>
      </c>
      <c r="AI168" s="2"/>
      <c r="AJ168" s="2"/>
      <c r="AK168" s="2"/>
      <c r="AL168" s="2"/>
      <c r="AM168" s="3"/>
      <c r="AN168" s="5"/>
      <c r="AO168" s="6"/>
      <c r="AP168" s="7"/>
      <c r="AQ168" s="3"/>
      <c r="AR168" s="5"/>
      <c r="AS168" s="6"/>
      <c r="AT168" s="7"/>
      <c r="AU168" s="3"/>
      <c r="AV168" s="5"/>
      <c r="AW168" s="6"/>
      <c r="AX168" s="7"/>
      <c r="AY168" s="2"/>
      <c r="AZ168" s="2"/>
      <c r="BA168" s="2"/>
      <c r="BB168" s="2"/>
      <c r="BC168" s="3"/>
      <c r="BD168" s="5"/>
      <c r="BE168" s="6"/>
      <c r="BF168" s="7"/>
      <c r="BG168" s="3"/>
      <c r="BH168" s="5"/>
      <c r="BI168" s="6"/>
      <c r="BJ168" s="7"/>
      <c r="BK168" s="3"/>
      <c r="BL168" s="5"/>
      <c r="BM168" s="6"/>
      <c r="BN168" s="7"/>
      <c r="BO168" s="2"/>
      <c r="BP168" s="2"/>
      <c r="BQ168" s="2"/>
      <c r="BR168" s="2"/>
    </row>
    <row r="169" spans="2:70" ht="18.75" customHeight="1" x14ac:dyDescent="0.25">
      <c r="B169" s="8" t="s">
        <v>597</v>
      </c>
      <c r="C169" s="3" t="s">
        <v>598</v>
      </c>
      <c r="D169" s="3" t="s">
        <v>243</v>
      </c>
      <c r="E169" s="5" t="s">
        <v>188</v>
      </c>
      <c r="F169" s="5" t="s">
        <v>565</v>
      </c>
      <c r="G169" s="6" t="str">
        <f ca="1">IFERROR(__xludf.DUMMYFUNCTION("GOOGLETRANSLATE(B169,""ja"",""ko"")"),"극태 홀자 키스 새우 천국 부카케")</f>
        <v>극태 홀자 키스 새우 천국 부카케</v>
      </c>
      <c r="H169" s="6"/>
      <c r="I169" s="7" t="str">
        <f ca="1">IFERROR(__xludf.DUMMYFUNCTION("GOOGLETRANSLATE(B169,""ja"",""zh"")"),"特厚海鳗虾天妇罗颜射")</f>
        <v>特厚海鳗虾天妇罗颜射</v>
      </c>
      <c r="J169" s="7"/>
      <c r="K169" s="3" t="s">
        <v>598</v>
      </c>
      <c r="L169" s="3" t="s">
        <v>243</v>
      </c>
      <c r="M169" s="5" t="s">
        <v>188</v>
      </c>
      <c r="N169" s="5" t="s">
        <v>565</v>
      </c>
      <c r="O169" s="6" t="str">
        <f ca="1">IFERROR(__xludf.DUMMYFUNCTION("GOOGLETRANSLATE(B169,""ja"",""ko"")"),"극태 홀자 키스 새우 천국 부카케")</f>
        <v>극태 홀자 키스 새우 천국 부카케</v>
      </c>
      <c r="P169" s="6"/>
      <c r="Q169" s="7" t="str">
        <f ca="1">IFERROR(__xludf.DUMMYFUNCTION("GOOGLETRANSLATE(B169,""ja"",""zh"")"),"特厚海鳗虾天妇罗颜射")</f>
        <v>特厚海鳗虾天妇罗颜射</v>
      </c>
      <c r="R169" s="7"/>
      <c r="S169" s="3" t="s">
        <v>598</v>
      </c>
      <c r="T169" s="5" t="str">
        <f ca="1">IFERROR(__xludf.DUMMYFUNCTION("GOOGLETRANSLATE(S169,""ja"",""en"")"),"Extra thick conger eel shrimp tempura")</f>
        <v>Extra thick conger eel shrimp tempura</v>
      </c>
      <c r="U169" s="6" t="str">
        <f ca="1">IFERROR(__xludf.DUMMYFUNCTION("GOOGLETRANSLATE(S169,""ja"",""ko"")"),"극태 홀자 키스 새우 하늘")</f>
        <v>극태 홀자 키스 새우 하늘</v>
      </c>
      <c r="V169" s="7" t="str">
        <f ca="1">IFERROR(__xludf.DUMMYFUNCTION("GOOGLETRANSLATE(S169,""ja"",""zh"")"),"特厚海鳗虾天妇罗")</f>
        <v>特厚海鳗虾天妇罗</v>
      </c>
      <c r="W169" s="3"/>
      <c r="X169" s="5"/>
      <c r="Y169" s="6"/>
      <c r="Z169" s="7"/>
      <c r="AA169" s="3"/>
      <c r="AB169" s="5"/>
      <c r="AC169" s="6"/>
      <c r="AD169" s="7"/>
      <c r="AE169" s="3"/>
      <c r="AF169" s="5"/>
      <c r="AG169" s="6"/>
      <c r="AH169" s="7"/>
      <c r="AI169" s="2"/>
      <c r="AJ169" s="2"/>
      <c r="AK169" s="2"/>
      <c r="AL169" s="2"/>
      <c r="AM169" s="3"/>
      <c r="AN169" s="5"/>
      <c r="AO169" s="6"/>
      <c r="AP169" s="7"/>
      <c r="AQ169" s="3"/>
      <c r="AR169" s="5"/>
      <c r="AS169" s="6"/>
      <c r="AT169" s="7"/>
      <c r="AU169" s="3"/>
      <c r="AV169" s="5"/>
      <c r="AW169" s="6"/>
      <c r="AX169" s="7"/>
      <c r="AY169" s="2"/>
      <c r="AZ169" s="2"/>
      <c r="BA169" s="2"/>
      <c r="BB169" s="2"/>
      <c r="BC169" s="3"/>
      <c r="BD169" s="5"/>
      <c r="BE169" s="6"/>
      <c r="BF169" s="7"/>
      <c r="BG169" s="3"/>
      <c r="BH169" s="5"/>
      <c r="BI169" s="6"/>
      <c r="BJ169" s="7"/>
      <c r="BK169" s="3"/>
      <c r="BL169" s="5"/>
      <c r="BM169" s="6"/>
      <c r="BN169" s="7"/>
      <c r="BO169" s="2"/>
      <c r="BP169" s="2"/>
      <c r="BQ169" s="2"/>
      <c r="BR169" s="2"/>
    </row>
    <row r="170" spans="2:70" ht="18.75" customHeight="1" x14ac:dyDescent="0.25">
      <c r="B170" s="8" t="s">
        <v>599</v>
      </c>
      <c r="C170" s="3" t="s">
        <v>600</v>
      </c>
      <c r="D170" s="3" t="s">
        <v>243</v>
      </c>
      <c r="E170" s="5" t="s">
        <v>188</v>
      </c>
      <c r="F170" s="5" t="s">
        <v>502</v>
      </c>
      <c r="G170" s="6" t="str">
        <f ca="1">IFERROR(__xludf.DUMMYFUNCTION("GOOGLETRANSLATE(B170,""ja"",""ko"")"),"푸른 노리 홀자 키스 새우 하늘 부카케")</f>
        <v>푸른 노리 홀자 키스 새우 하늘 부카케</v>
      </c>
      <c r="H170" s="6"/>
      <c r="I170" s="7" t="str">
        <f ca="1">IFERROR(__xludf.DUMMYFUNCTION("GOOGLETRANSLATE(B170,""ja"",""zh"")"),"青海星鳗虾天妇罗颜射")</f>
        <v>青海星鳗虾天妇罗颜射</v>
      </c>
      <c r="J170" s="7"/>
      <c r="K170" s="3" t="s">
        <v>601</v>
      </c>
      <c r="L170" s="3" t="s">
        <v>243</v>
      </c>
      <c r="M170" s="5" t="s">
        <v>188</v>
      </c>
      <c r="N170" s="5" t="s">
        <v>502</v>
      </c>
      <c r="O170" s="6" t="str">
        <f ca="1">IFERROR(__xludf.DUMMYFUNCTION("GOOGLETRANSLATE(B170,""ja"",""ko"")"),"푸른 노리 홀자 키스 새우 하늘 부카케")</f>
        <v>푸른 노리 홀자 키스 새우 하늘 부카케</v>
      </c>
      <c r="P170" s="6"/>
      <c r="Q170" s="7" t="str">
        <f ca="1">IFERROR(__xludf.DUMMYFUNCTION("GOOGLETRANSLATE(B170,""ja"",""zh"")"),"青海星鳗虾天妇罗颜射")</f>
        <v>青海星鳗虾天妇罗颜射</v>
      </c>
      <c r="R170" s="7"/>
      <c r="S170" s="3" t="s">
        <v>600</v>
      </c>
      <c r="T170" s="5" t="str">
        <f ca="1">IFERROR(__xludf.DUMMYFUNCTION("GOOGLETRANSLATE(S170,""ja"",""en"")"),"Green seaweed conger eel shrimp tempura")</f>
        <v>Green seaweed conger eel shrimp tempura</v>
      </c>
      <c r="U170" s="6" t="str">
        <f ca="1">IFERROR(__xludf.DUMMYFUNCTION("GOOGLETRANSLATE(S170,""ja"",""ko"")"),"푸른 김이 새우 하늘")</f>
        <v>푸른 김이 새우 하늘</v>
      </c>
      <c r="V170" s="7" t="str">
        <f ca="1">IFERROR(__xludf.DUMMYFUNCTION("GOOGLETRANSLATE(S170,""ja"",""zh"")"),"青海藻海鳗虾天妇罗")</f>
        <v>青海藻海鳗虾天妇罗</v>
      </c>
      <c r="W170" s="3"/>
      <c r="X170" s="5"/>
      <c r="Y170" s="6"/>
      <c r="Z170" s="7"/>
      <c r="AA170" s="3"/>
      <c r="AB170" s="5"/>
      <c r="AC170" s="6"/>
      <c r="AD170" s="7"/>
      <c r="AE170" s="3"/>
      <c r="AF170" s="5"/>
      <c r="AG170" s="6"/>
      <c r="AH170" s="7"/>
      <c r="AI170" s="2"/>
      <c r="AJ170" s="2"/>
      <c r="AK170" s="2"/>
      <c r="AL170" s="2"/>
      <c r="AM170" s="3"/>
      <c r="AN170" s="5"/>
      <c r="AO170" s="6"/>
      <c r="AP170" s="7"/>
      <c r="AQ170" s="3"/>
      <c r="AR170" s="5"/>
      <c r="AS170" s="6"/>
      <c r="AT170" s="7"/>
      <c r="AU170" s="3"/>
      <c r="AV170" s="5"/>
      <c r="AW170" s="6"/>
      <c r="AX170" s="7"/>
      <c r="AY170" s="2"/>
      <c r="AZ170" s="2"/>
      <c r="BA170" s="2"/>
      <c r="BB170" s="2"/>
      <c r="BC170" s="3"/>
      <c r="BD170" s="5"/>
      <c r="BE170" s="6"/>
      <c r="BF170" s="7"/>
      <c r="BG170" s="3"/>
      <c r="BH170" s="5"/>
      <c r="BI170" s="6"/>
      <c r="BJ170" s="7"/>
      <c r="BK170" s="3"/>
      <c r="BL170" s="5"/>
      <c r="BM170" s="6"/>
      <c r="BN170" s="7"/>
      <c r="BO170" s="2"/>
      <c r="BP170" s="2"/>
      <c r="BQ170" s="2"/>
      <c r="BR170" s="2"/>
    </row>
    <row r="171" spans="2:70" ht="18.75" customHeight="1" x14ac:dyDescent="0.25">
      <c r="B171" s="8" t="s">
        <v>602</v>
      </c>
      <c r="C171" s="3" t="s">
        <v>602</v>
      </c>
      <c r="D171" s="3"/>
      <c r="E171" s="13" t="s">
        <v>603</v>
      </c>
      <c r="F171" s="5"/>
      <c r="G171" s="6" t="str">
        <f ca="1">IFERROR(__xludf.DUMMYFUNCTION("GOOGLETRANSLATE(B171,""ja"",""ko"")"),"아나고 하늘")</f>
        <v>아나고 하늘</v>
      </c>
      <c r="H171" s="6"/>
      <c r="I171" s="7" t="str">
        <f ca="1">IFERROR(__xludf.DUMMYFUNCTION("GOOGLETRANSLATE(B171,""ja"",""zh"")"),"海鳗天堂")</f>
        <v>海鳗天堂</v>
      </c>
      <c r="J171" s="7"/>
      <c r="K171" s="3" t="s">
        <v>602</v>
      </c>
      <c r="L171" s="3"/>
      <c r="M171" s="13" t="s">
        <v>603</v>
      </c>
      <c r="N171" s="5"/>
      <c r="O171" s="6" t="str">
        <f ca="1">IFERROR(__xludf.DUMMYFUNCTION("GOOGLETRANSLATE(B171,""ja"",""ko"")"),"아나고 하늘")</f>
        <v>아나고 하늘</v>
      </c>
      <c r="P171" s="6"/>
      <c r="Q171" s="7" t="str">
        <f ca="1">IFERROR(__xludf.DUMMYFUNCTION("GOOGLETRANSLATE(B171,""ja"",""zh"")"),"海鳗天堂")</f>
        <v>海鳗天堂</v>
      </c>
      <c r="R171" s="7"/>
      <c r="S171" s="3" t="s">
        <v>602</v>
      </c>
      <c r="T171" s="5" t="str">
        <f ca="1">IFERROR(__xludf.DUMMYFUNCTION("GOOGLETRANSLATE(S171,""ja"",""en"")"),"Conger heaven")</f>
        <v>Conger heaven</v>
      </c>
      <c r="U171" s="6" t="str">
        <f ca="1">IFERROR(__xludf.DUMMYFUNCTION("GOOGLETRANSLATE(S171,""ja"",""ko"")"),"아나고 하늘")</f>
        <v>아나고 하늘</v>
      </c>
      <c r="V171" s="7" t="str">
        <f ca="1">IFERROR(__xludf.DUMMYFUNCTION("GOOGLETRANSLATE(S171,""ja"",""zh"")"),"海鳗天堂")</f>
        <v>海鳗天堂</v>
      </c>
      <c r="W171" s="3"/>
      <c r="X171" s="5"/>
      <c r="Y171" s="6"/>
      <c r="Z171" s="7"/>
      <c r="AA171" s="3"/>
      <c r="AB171" s="5"/>
      <c r="AC171" s="6"/>
      <c r="AD171" s="7"/>
      <c r="AE171" s="3"/>
      <c r="AF171" s="5"/>
      <c r="AG171" s="6"/>
      <c r="AH171" s="7"/>
      <c r="AI171" s="2"/>
      <c r="AJ171" s="2"/>
      <c r="AK171" s="2"/>
      <c r="AL171" s="2"/>
      <c r="AM171" s="3"/>
      <c r="AN171" s="5"/>
      <c r="AO171" s="6"/>
      <c r="AP171" s="7"/>
      <c r="AQ171" s="3"/>
      <c r="AR171" s="5"/>
      <c r="AS171" s="6"/>
      <c r="AT171" s="7"/>
      <c r="AU171" s="3"/>
      <c r="AV171" s="5"/>
      <c r="AW171" s="6"/>
      <c r="AX171" s="7"/>
      <c r="AY171" s="2"/>
      <c r="AZ171" s="2"/>
      <c r="BA171" s="2"/>
      <c r="BB171" s="2"/>
      <c r="BC171" s="3"/>
      <c r="BD171" s="5"/>
      <c r="BE171" s="6"/>
      <c r="BF171" s="7"/>
      <c r="BG171" s="3"/>
      <c r="BH171" s="5"/>
      <c r="BI171" s="6"/>
      <c r="BJ171" s="7"/>
      <c r="BK171" s="3"/>
      <c r="BL171" s="5"/>
      <c r="BM171" s="6"/>
      <c r="BN171" s="7"/>
      <c r="BO171" s="2"/>
      <c r="BP171" s="2"/>
      <c r="BQ171" s="2"/>
      <c r="BR171" s="2"/>
    </row>
    <row r="172" spans="2:70" ht="18.75" customHeight="1" x14ac:dyDescent="0.25">
      <c r="B172" s="8" t="s">
        <v>604</v>
      </c>
      <c r="C172" s="3" t="s">
        <v>604</v>
      </c>
      <c r="D172" s="3"/>
      <c r="E172" s="5" t="s">
        <v>595</v>
      </c>
      <c r="F172" s="5"/>
      <c r="G172" s="6" t="str">
        <f ca="1">IFERROR(__xludf.DUMMYFUNCTION("GOOGLETRANSLATE(B172,""ja"",""ko"")"),"닭 토리토리 덮밥")</f>
        <v>닭 토리토리 덮밥</v>
      </c>
      <c r="H172" s="6"/>
      <c r="I172" s="7" t="str">
        <f ca="1">IFERROR(__xludf.DUMMYFUNCTION("GOOGLETRANSLATE(B172,""ja"",""zh"")"),"鸡肉鸡肉碗")</f>
        <v>鸡肉鸡肉碗</v>
      </c>
      <c r="J172" s="7"/>
      <c r="K172" s="3" t="s">
        <v>604</v>
      </c>
      <c r="L172" s="3"/>
      <c r="M172" s="5" t="s">
        <v>595</v>
      </c>
      <c r="N172" s="5"/>
      <c r="O172" s="6" t="str">
        <f ca="1">IFERROR(__xludf.DUMMYFUNCTION("GOOGLETRANSLATE(B172,""ja"",""ko"")"),"닭 토리토리 덮밥")</f>
        <v>닭 토리토리 덮밥</v>
      </c>
      <c r="P172" s="6"/>
      <c r="Q172" s="7" t="str">
        <f ca="1">IFERROR(__xludf.DUMMYFUNCTION("GOOGLETRANSLATE(B172,""ja"",""zh"")"),"鸡肉鸡肉碗")</f>
        <v>鸡肉鸡肉碗</v>
      </c>
      <c r="R172" s="7"/>
      <c r="S172" s="3" t="s">
        <v>604</v>
      </c>
      <c r="T172" s="5" t="str">
        <f ca="1">IFERROR(__xludf.DUMMYFUNCTION("GOOGLETRANSLATE(S172,""ja"",""en"")"),"Chicken chicken bowl")</f>
        <v>Chicken chicken bowl</v>
      </c>
      <c r="U172" s="6" t="str">
        <f ca="1">IFERROR(__xludf.DUMMYFUNCTION("GOOGLETRANSLATE(S172,""ja"",""ko"")"),"닭 토리토리 덮밥")</f>
        <v>닭 토리토리 덮밥</v>
      </c>
      <c r="V172" s="7" t="str">
        <f ca="1">IFERROR(__xludf.DUMMYFUNCTION("GOOGLETRANSLATE(S172,""ja"",""zh"")"),"鸡肉鸡肉碗")</f>
        <v>鸡肉鸡肉碗</v>
      </c>
      <c r="W172" s="3" t="s">
        <v>437</v>
      </c>
      <c r="X172" s="5" t="str">
        <f ca="1">IFERROR(__xludf.DUMMYFUNCTION("GOOGLETRANSLATE(W172,""ja"",""en"")"),"Sauce")</f>
        <v>Sauce</v>
      </c>
      <c r="Y172" s="6" t="str">
        <f ca="1">IFERROR(__xludf.DUMMYFUNCTION("GOOGLETRANSLATE(W172,""ja"",""ko"")"),"양념")</f>
        <v>양념</v>
      </c>
      <c r="Z172" s="7" t="str">
        <f ca="1">IFERROR(__xludf.DUMMYFUNCTION("GOOGLETRANSLATE(W172,""ja"",""zh"")"),"酱")</f>
        <v>酱</v>
      </c>
      <c r="AA172" s="3" t="s">
        <v>596</v>
      </c>
      <c r="AB172" s="5" t="str">
        <f ca="1">IFERROR(__xludf.DUMMYFUNCTION("GOOGLETRANSLATE(AA172,""ja"",""en"")"),"soy sauce sauce")</f>
        <v>soy sauce sauce</v>
      </c>
      <c r="AC172" s="6" t="str">
        <f ca="1">IFERROR(__xludf.DUMMYFUNCTION("GOOGLETRANSLATE(AA172,""ja"",""ko"")"),"간장 누구")</f>
        <v>간장 누구</v>
      </c>
      <c r="AD172" s="7" t="str">
        <f ca="1">IFERROR(__xludf.DUMMYFUNCTION("GOOGLETRANSLATE(AA172,""ja"",""zh"")"),"酱油 酱油")</f>
        <v>酱油 酱油</v>
      </c>
      <c r="AE172" s="3" t="s">
        <v>438</v>
      </c>
      <c r="AF172" s="5" t="str">
        <f ca="1">IFERROR(__xludf.DUMMYFUNCTION("GOOGLETRANSLATE(AE172,""ja"",""en"")"),"salt sauce")</f>
        <v>salt sauce</v>
      </c>
      <c r="AG172" s="6" t="str">
        <f ca="1">IFERROR(__xludf.DUMMYFUNCTION("GOOGLETRANSLATE(AE172,""ja"",""ko"")"),"소금 누구")</f>
        <v>소금 누구</v>
      </c>
      <c r="AH172" s="7" t="str">
        <f ca="1">IFERROR(__xludf.DUMMYFUNCTION("GOOGLETRANSLATE(AE172,""ja"",""zh"")"),"盐酱")</f>
        <v>盐酱</v>
      </c>
      <c r="AI172" s="2"/>
      <c r="AJ172" s="2"/>
      <c r="AK172" s="2"/>
      <c r="AL172" s="2"/>
      <c r="AM172" s="3"/>
      <c r="AN172" s="5"/>
      <c r="AO172" s="6"/>
      <c r="AP172" s="7"/>
      <c r="AQ172" s="3"/>
      <c r="AR172" s="5"/>
      <c r="AS172" s="6"/>
      <c r="AT172" s="7"/>
      <c r="AU172" s="3"/>
      <c r="AV172" s="5"/>
      <c r="AW172" s="6"/>
      <c r="AX172" s="7"/>
      <c r="AY172" s="2"/>
      <c r="AZ172" s="2"/>
      <c r="BA172" s="2"/>
      <c r="BB172" s="2"/>
      <c r="BC172" s="3"/>
      <c r="BD172" s="5"/>
      <c r="BE172" s="6"/>
      <c r="BF172" s="7"/>
      <c r="BG172" s="3"/>
      <c r="BH172" s="5"/>
      <c r="BI172" s="6"/>
      <c r="BJ172" s="7"/>
      <c r="BK172" s="3"/>
      <c r="BL172" s="5"/>
      <c r="BM172" s="6"/>
      <c r="BN172" s="7"/>
      <c r="BO172" s="2"/>
      <c r="BP172" s="2"/>
      <c r="BQ172" s="2"/>
      <c r="BR172" s="2"/>
    </row>
    <row r="173" spans="2:70" ht="18.75" customHeight="1" x14ac:dyDescent="0.25">
      <c r="B173" s="8" t="s">
        <v>605</v>
      </c>
      <c r="C173" s="3" t="s">
        <v>605</v>
      </c>
      <c r="D173" s="3"/>
      <c r="E173" s="5" t="s">
        <v>558</v>
      </c>
      <c r="F173" s="5"/>
      <c r="G173" s="6" t="str">
        <f ca="1">IFERROR(__xludf.DUMMYFUNCTION("GOOGLETRANSLATE(B173,""ja"",""ko"")"),"혼합 밥 주먹밥")</f>
        <v>혼합 밥 주먹밥</v>
      </c>
      <c r="H173" s="6"/>
      <c r="I173" s="7" t="str">
        <f ca="1">IFERROR(__xludf.DUMMYFUNCTION("GOOGLETRANSLATE(B173,""ja"",""zh"")"),"什锦饭团")</f>
        <v>什锦饭团</v>
      </c>
      <c r="J173" s="7"/>
      <c r="K173" s="3" t="s">
        <v>605</v>
      </c>
      <c r="L173" s="3"/>
      <c r="M173" s="5" t="s">
        <v>558</v>
      </c>
      <c r="N173" s="5"/>
      <c r="O173" s="6" t="str">
        <f ca="1">IFERROR(__xludf.DUMMYFUNCTION("GOOGLETRANSLATE(B173,""ja"",""ko"")"),"혼합 밥 주먹밥")</f>
        <v>혼합 밥 주먹밥</v>
      </c>
      <c r="P173" s="6"/>
      <c r="Q173" s="7" t="str">
        <f ca="1">IFERROR(__xludf.DUMMYFUNCTION("GOOGLETRANSLATE(B173,""ja"",""zh"")"),"什锦饭团")</f>
        <v>什锦饭团</v>
      </c>
      <c r="R173" s="7"/>
      <c r="S173" s="3" t="s">
        <v>605</v>
      </c>
      <c r="T173" s="5" t="str">
        <f ca="1">IFERROR(__xludf.DUMMYFUNCTION("GOOGLETRANSLATE(S173,""ja"",""en"")"),"Mixed rice rice balls")</f>
        <v>Mixed rice rice balls</v>
      </c>
      <c r="U173" s="6" t="str">
        <f ca="1">IFERROR(__xludf.DUMMYFUNCTION("GOOGLETRANSLATE(S173,""ja"",""ko"")"),"혼합 밥 주먹밥")</f>
        <v>혼합 밥 주먹밥</v>
      </c>
      <c r="V173" s="7" t="str">
        <f ca="1">IFERROR(__xludf.DUMMYFUNCTION("GOOGLETRANSLATE(S173,""ja"",""zh"")"),"什锦饭团")</f>
        <v>什锦饭团</v>
      </c>
      <c r="W173" s="3"/>
      <c r="X173" s="5"/>
      <c r="Y173" s="6"/>
      <c r="Z173" s="7"/>
      <c r="AA173" s="3"/>
      <c r="AB173" s="5"/>
      <c r="AC173" s="6"/>
      <c r="AD173" s="7"/>
      <c r="AE173" s="3"/>
      <c r="AF173" s="5"/>
      <c r="AG173" s="6"/>
      <c r="AH173" s="7"/>
      <c r="AI173" s="2"/>
      <c r="AJ173" s="2"/>
      <c r="AK173" s="2"/>
      <c r="AL173" s="2"/>
      <c r="AM173" s="3"/>
      <c r="AN173" s="5"/>
      <c r="AO173" s="6"/>
      <c r="AP173" s="7"/>
      <c r="AQ173" s="3"/>
      <c r="AR173" s="5"/>
      <c r="AS173" s="6"/>
      <c r="AT173" s="7"/>
      <c r="AU173" s="3"/>
      <c r="AV173" s="5"/>
      <c r="AW173" s="6"/>
      <c r="AX173" s="7"/>
      <c r="AY173" s="2"/>
      <c r="AZ173" s="2"/>
      <c r="BA173" s="2"/>
      <c r="BB173" s="2"/>
      <c r="BC173" s="3"/>
      <c r="BD173" s="5"/>
      <c r="BE173" s="6"/>
      <c r="BF173" s="7"/>
      <c r="BG173" s="3"/>
      <c r="BH173" s="5"/>
      <c r="BI173" s="6"/>
      <c r="BJ173" s="7"/>
      <c r="BK173" s="3"/>
      <c r="BL173" s="5"/>
      <c r="BM173" s="6"/>
      <c r="BN173" s="7"/>
      <c r="BO173" s="2"/>
      <c r="BP173" s="2"/>
      <c r="BQ173" s="2"/>
      <c r="BR173" s="2"/>
    </row>
    <row r="174" spans="2:70" ht="18.75" customHeight="1" x14ac:dyDescent="0.25">
      <c r="B174" s="8" t="s">
        <v>606</v>
      </c>
      <c r="C174" s="3" t="s">
        <v>606</v>
      </c>
      <c r="D174" s="3"/>
      <c r="E174" s="5" t="s">
        <v>481</v>
      </c>
      <c r="F174" s="5" t="s">
        <v>607</v>
      </c>
      <c r="G174" s="6" t="str">
        <f ca="1">IFERROR(__xludf.DUMMYFUNCTION("GOOGLETRANSLATE(B174,""ja"",""ko"")"),"테이크 아웃 용기")</f>
        <v>테이크 아웃 용기</v>
      </c>
      <c r="H174" s="6"/>
      <c r="I174" s="7" t="str">
        <f ca="1">IFERROR(__xludf.DUMMYFUNCTION("GOOGLETRANSLATE(B174,""ja"",""zh"")"),"外卖容器")</f>
        <v>外卖容器</v>
      </c>
      <c r="J174" s="7"/>
      <c r="K174" s="3" t="s">
        <v>606</v>
      </c>
      <c r="L174" s="3"/>
      <c r="M174" s="5" t="s">
        <v>481</v>
      </c>
      <c r="N174" s="5" t="s">
        <v>607</v>
      </c>
      <c r="O174" s="6" t="str">
        <f ca="1">IFERROR(__xludf.DUMMYFUNCTION("GOOGLETRANSLATE(B174,""ja"",""ko"")"),"테이크 아웃 용기")</f>
        <v>테이크 아웃 용기</v>
      </c>
      <c r="P174" s="6"/>
      <c r="Q174" s="7" t="str">
        <f ca="1">IFERROR(__xludf.DUMMYFUNCTION("GOOGLETRANSLATE(B174,""ja"",""zh"")"),"外卖容器")</f>
        <v>外卖容器</v>
      </c>
      <c r="R174" s="7"/>
      <c r="S174" s="3" t="s">
        <v>606</v>
      </c>
      <c r="T174" s="5" t="str">
        <f ca="1">IFERROR(__xludf.DUMMYFUNCTION("GOOGLETRANSLATE(S174,""ja"",""en"")"),"Takeout container")</f>
        <v>Takeout container</v>
      </c>
      <c r="U174" s="6" t="str">
        <f ca="1">IFERROR(__xludf.DUMMYFUNCTION("GOOGLETRANSLATE(S174,""ja"",""ko"")"),"테이크 아웃 용기")</f>
        <v>테이크 아웃 용기</v>
      </c>
      <c r="V174" s="7" t="str">
        <f ca="1">IFERROR(__xludf.DUMMYFUNCTION("GOOGLETRANSLATE(S174,""ja"",""zh"")"),"外卖容器")</f>
        <v>外卖容器</v>
      </c>
      <c r="W174" s="3"/>
      <c r="X174" s="5"/>
      <c r="Y174" s="6"/>
      <c r="Z174" s="7"/>
      <c r="AA174" s="3"/>
      <c r="AB174" s="5"/>
      <c r="AC174" s="6"/>
      <c r="AD174" s="7"/>
      <c r="AE174" s="3"/>
      <c r="AF174" s="5"/>
      <c r="AG174" s="6"/>
      <c r="AH174" s="7"/>
      <c r="AI174" s="2"/>
      <c r="AJ174" s="2"/>
      <c r="AK174" s="2"/>
      <c r="AL174" s="2"/>
      <c r="AM174" s="3"/>
      <c r="AN174" s="5"/>
      <c r="AO174" s="6"/>
      <c r="AP174" s="7"/>
      <c r="AQ174" s="3"/>
      <c r="AR174" s="5"/>
      <c r="AS174" s="6"/>
      <c r="AT174" s="7"/>
      <c r="AU174" s="3"/>
      <c r="AV174" s="5"/>
      <c r="AW174" s="6"/>
      <c r="AX174" s="7"/>
      <c r="AY174" s="2"/>
      <c r="AZ174" s="2"/>
      <c r="BA174" s="2"/>
      <c r="BB174" s="2"/>
      <c r="BC174" s="3"/>
      <c r="BD174" s="5"/>
      <c r="BE174" s="6"/>
      <c r="BF174" s="7"/>
      <c r="BG174" s="3"/>
      <c r="BH174" s="5"/>
      <c r="BI174" s="6"/>
      <c r="BJ174" s="7"/>
      <c r="BK174" s="3"/>
      <c r="BL174" s="5"/>
      <c r="BM174" s="6"/>
      <c r="BN174" s="7"/>
      <c r="BO174" s="2"/>
      <c r="BP174" s="2"/>
      <c r="BQ174" s="2"/>
      <c r="BR174" s="2"/>
    </row>
    <row r="175" spans="2:70" ht="18.75" customHeight="1" x14ac:dyDescent="0.25">
      <c r="B175" s="8" t="s">
        <v>608</v>
      </c>
      <c r="C175" s="3" t="s">
        <v>608</v>
      </c>
      <c r="D175" s="3"/>
      <c r="E175" s="5" t="s">
        <v>481</v>
      </c>
      <c r="F175" s="5" t="s">
        <v>607</v>
      </c>
      <c r="G175" s="6" t="str">
        <f ca="1">IFERROR(__xludf.DUMMYFUNCTION("GOOGLETRANSLATE(B175,""ja"",""ko"")"),"테이크 아웃 용기")</f>
        <v>테이크 아웃 용기</v>
      </c>
      <c r="H175" s="6"/>
      <c r="I175" s="7" t="str">
        <f ca="1">IFERROR(__xludf.DUMMYFUNCTION("GOOGLETRANSLATE(B175,""ja"",""zh"")"),"外卖容器")</f>
        <v>外卖容器</v>
      </c>
      <c r="J175" s="7"/>
      <c r="K175" s="3" t="s">
        <v>608</v>
      </c>
      <c r="L175" s="3"/>
      <c r="M175" s="5" t="s">
        <v>481</v>
      </c>
      <c r="N175" s="5" t="s">
        <v>607</v>
      </c>
      <c r="O175" s="6" t="str">
        <f ca="1">IFERROR(__xludf.DUMMYFUNCTION("GOOGLETRANSLATE(B175,""ja"",""ko"")"),"테이크 아웃 용기")</f>
        <v>테이크 아웃 용기</v>
      </c>
      <c r="P175" s="6"/>
      <c r="Q175" s="7" t="str">
        <f ca="1">IFERROR(__xludf.DUMMYFUNCTION("GOOGLETRANSLATE(B175,""ja"",""zh"")"),"外卖容器")</f>
        <v>外卖容器</v>
      </c>
      <c r="R175" s="7"/>
      <c r="S175" s="3" t="s">
        <v>608</v>
      </c>
      <c r="T175" s="5" t="str">
        <f ca="1">IFERROR(__xludf.DUMMYFUNCTION("GOOGLETRANSLATE(S175,""ja"",""en"")"),"takeout container")</f>
        <v>takeout container</v>
      </c>
      <c r="U175" s="6" t="str">
        <f ca="1">IFERROR(__xludf.DUMMYFUNCTION("GOOGLETRANSLATE(S175,""ja"",""ko"")"),"테이크 아웃 용기")</f>
        <v>테이크 아웃 용기</v>
      </c>
      <c r="V175" s="7" t="str">
        <f ca="1">IFERROR(__xludf.DUMMYFUNCTION("GOOGLETRANSLATE(S175,""ja"",""zh"")"),"外卖容器")</f>
        <v>外卖容器</v>
      </c>
      <c r="W175" s="3"/>
      <c r="X175" s="5"/>
      <c r="Y175" s="6"/>
      <c r="Z175" s="7"/>
      <c r="AA175" s="3"/>
      <c r="AB175" s="5"/>
      <c r="AC175" s="6"/>
      <c r="AD175" s="7"/>
      <c r="AE175" s="3"/>
      <c r="AF175" s="5"/>
      <c r="AG175" s="6"/>
      <c r="AH175" s="7"/>
      <c r="AI175" s="2"/>
      <c r="AJ175" s="2"/>
      <c r="AK175" s="2"/>
      <c r="AL175" s="2"/>
      <c r="AM175" s="3"/>
      <c r="AN175" s="5"/>
      <c r="AO175" s="6"/>
      <c r="AP175" s="7"/>
      <c r="AQ175" s="3"/>
      <c r="AR175" s="5"/>
      <c r="AS175" s="6"/>
      <c r="AT175" s="7"/>
      <c r="AU175" s="3"/>
      <c r="AV175" s="5"/>
      <c r="AW175" s="6"/>
      <c r="AX175" s="7"/>
      <c r="AY175" s="2"/>
      <c r="AZ175" s="2"/>
      <c r="BA175" s="2"/>
      <c r="BB175" s="2"/>
      <c r="BC175" s="3"/>
      <c r="BD175" s="5"/>
      <c r="BE175" s="6"/>
      <c r="BF175" s="7"/>
      <c r="BG175" s="3"/>
      <c r="BH175" s="5"/>
      <c r="BI175" s="6"/>
      <c r="BJ175" s="7"/>
      <c r="BK175" s="3"/>
      <c r="BL175" s="5"/>
      <c r="BM175" s="6"/>
      <c r="BN175" s="7"/>
      <c r="BO175" s="2"/>
      <c r="BP175" s="2"/>
      <c r="BQ175" s="2"/>
      <c r="BR175" s="2"/>
    </row>
    <row r="176" spans="2:70" ht="18.75" customHeight="1" x14ac:dyDescent="0.25">
      <c r="B176" s="8" t="s">
        <v>609</v>
      </c>
      <c r="C176" s="3" t="s">
        <v>610</v>
      </c>
      <c r="D176" s="3" t="s">
        <v>611</v>
      </c>
      <c r="E176" s="5" t="s">
        <v>612</v>
      </c>
      <c r="F176" s="5"/>
      <c r="G176" s="6" t="str">
        <f ca="1">IFERROR(__xludf.DUMMYFUNCTION("GOOGLETRANSLATE(B176,""ja"",""ko"")"),"미즈나 샤키 샤키 미니 샐러드")</f>
        <v>미즈나 샤키 샤키 미니 샐러드</v>
      </c>
      <c r="H176" s="6"/>
      <c r="I176" s="7" t="str">
        <f ca="1">IFERROR(__xludf.DUMMYFUNCTION("GOOGLETRANSLATE(B176,""ja"",""zh"")"),"脆皮迷你水菜沙拉")</f>
        <v>脆皮迷你水菜沙拉</v>
      </c>
      <c r="J176" s="7"/>
      <c r="K176" s="3" t="s">
        <v>610</v>
      </c>
      <c r="L176" s="3" t="s">
        <v>611</v>
      </c>
      <c r="M176" s="5" t="s">
        <v>612</v>
      </c>
      <c r="N176" s="5"/>
      <c r="O176" s="6" t="str">
        <f ca="1">IFERROR(__xludf.DUMMYFUNCTION("GOOGLETRANSLATE(B176,""ja"",""ko"")"),"미즈나 샤키 샤키 미니 샐러드")</f>
        <v>미즈나 샤키 샤키 미니 샐러드</v>
      </c>
      <c r="P176" s="6"/>
      <c r="Q176" s="7" t="str">
        <f ca="1">IFERROR(__xludf.DUMMYFUNCTION("GOOGLETRANSLATE(B176,""ja"",""zh"")"),"脆皮迷你水菜沙拉")</f>
        <v>脆皮迷你水菜沙拉</v>
      </c>
      <c r="R176" s="7"/>
      <c r="S176" s="3" t="s">
        <v>613</v>
      </c>
      <c r="T176" s="5" t="str">
        <f ca="1">IFERROR(__xludf.DUMMYFUNCTION("GOOGLETRANSLATE(S176,""ja"",""en"")"),"Crispy mizuna")</f>
        <v>Crispy mizuna</v>
      </c>
      <c r="U176" s="6" t="str">
        <f ca="1">IFERROR(__xludf.DUMMYFUNCTION("GOOGLETRANSLATE(S176,""ja"",""ko"")"),"미즈나 샤키샤키미")</f>
        <v>미즈나 샤키샤키미</v>
      </c>
      <c r="V176" s="7" t="str">
        <f ca="1">IFERROR(__xludf.DUMMYFUNCTION("GOOGLETRANSLATE(S176,""ja"",""zh"")"),"脆皮水菜")</f>
        <v>脆皮水菜</v>
      </c>
      <c r="W176" s="3" t="s">
        <v>264</v>
      </c>
      <c r="X176" s="5" t="str">
        <f ca="1">IFERROR(__xludf.DUMMYFUNCTION("GOOGLETRANSLATE(W176,""ja"",""en"")"),"dressing")</f>
        <v>dressing</v>
      </c>
      <c r="Y176" s="6" t="str">
        <f ca="1">IFERROR(__xludf.DUMMYFUNCTION("GOOGLETRANSLATE(W176,""ja"",""ko"")"),"드레싱")</f>
        <v>드레싱</v>
      </c>
      <c r="Z176" s="7" t="str">
        <f ca="1">IFERROR(__xludf.DUMMYFUNCTION("GOOGLETRANSLATE(W176,""ja"",""zh"")"),"敷料")</f>
        <v>敷料</v>
      </c>
      <c r="AA176" s="3" t="s">
        <v>614</v>
      </c>
      <c r="AB176" s="5" t="str">
        <f ca="1">IFERROR(__xludf.DUMMYFUNCTION("GOOGLETRANSLATE(AA176,""ja"",""en"")"),"eating sesame seeds")</f>
        <v>eating sesame seeds</v>
      </c>
      <c r="AC176" s="6" t="str">
        <f ca="1">IFERROR(__xludf.DUMMYFUNCTION("GOOGLETRANSLATE(AA176,""ja"",""ko"")"),"먹는 참깨")</f>
        <v>먹는 참깨</v>
      </c>
      <c r="AD176" s="7" t="str">
        <f ca="1">IFERROR(__xludf.DUMMYFUNCTION("GOOGLETRANSLATE(AA176,""ja"",""zh"")"),"吃芝麻")</f>
        <v>吃芝麻</v>
      </c>
      <c r="AE176" s="3" t="s">
        <v>615</v>
      </c>
      <c r="AF176" s="5" t="str">
        <f ca="1">IFERROR(__xludf.DUMMYFUNCTION("GOOGLETRANSLATE(AE176,""ja"",""en"")"),"Grated vegetable dore")</f>
        <v>Grated vegetable dore</v>
      </c>
      <c r="AG176" s="6" t="str">
        <f ca="1">IFERROR(__xludf.DUMMYFUNCTION("GOOGLETRANSLATE(AE176,""ja"",""ko"")"),"스리 오로시 야채 드레")</f>
        <v>스리 오로시 야채 드레</v>
      </c>
      <c r="AH176" s="7" t="str">
        <f ca="1">IFERROR(__xludf.DUMMYFUNCTION("GOOGLETRANSLATE(AE176,""ja"",""zh"")"),"磨碎的蔬菜多尔")</f>
        <v>磨碎的蔬菜多尔</v>
      </c>
      <c r="AI176" s="2"/>
      <c r="AJ176" s="2"/>
      <c r="AK176" s="2"/>
      <c r="AL176" s="2"/>
      <c r="AM176" s="3"/>
      <c r="AN176" s="5"/>
      <c r="AO176" s="6"/>
      <c r="AP176" s="7"/>
      <c r="AQ176" s="3"/>
      <c r="AR176" s="5"/>
      <c r="AS176" s="6"/>
      <c r="AT176" s="7"/>
      <c r="AU176" s="3"/>
      <c r="AV176" s="5"/>
      <c r="AW176" s="6"/>
      <c r="AX176" s="7"/>
      <c r="AY176" s="2"/>
      <c r="AZ176" s="2"/>
      <c r="BA176" s="2"/>
      <c r="BB176" s="2"/>
      <c r="BC176" s="3"/>
      <c r="BD176" s="5"/>
      <c r="BE176" s="6"/>
      <c r="BF176" s="7"/>
      <c r="BG176" s="3"/>
      <c r="BH176" s="5"/>
      <c r="BI176" s="6"/>
      <c r="BJ176" s="7"/>
      <c r="BK176" s="3"/>
      <c r="BL176" s="5"/>
      <c r="BM176" s="6"/>
      <c r="BN176" s="7"/>
      <c r="BO176" s="2"/>
      <c r="BP176" s="2"/>
      <c r="BQ176" s="2"/>
      <c r="BR176" s="2"/>
    </row>
    <row r="177" spans="2:70" ht="18.75" customHeight="1" x14ac:dyDescent="0.25">
      <c r="B177" s="8" t="s">
        <v>616</v>
      </c>
      <c r="C177" s="3" t="s">
        <v>616</v>
      </c>
      <c r="D177" s="3"/>
      <c r="E177" s="5" t="s">
        <v>612</v>
      </c>
      <c r="F177" s="5"/>
      <c r="G177" s="6" t="str">
        <f ca="1">IFERROR(__xludf.DUMMYFUNCTION("GOOGLETRANSLATE(B177,""ja"",""ko"")"),"수채화 미니 샐러드")</f>
        <v>수채화 미니 샐러드</v>
      </c>
      <c r="H177" s="6"/>
      <c r="I177" s="7" t="str">
        <f ca="1">IFERROR(__xludf.DUMMYFUNCTION("GOOGLETRANSLATE(B177,""ja"",""zh"")"),"水菜迷你沙拉")</f>
        <v>水菜迷你沙拉</v>
      </c>
      <c r="J177" s="7"/>
      <c r="K177" s="3" t="s">
        <v>616</v>
      </c>
      <c r="L177" s="3"/>
      <c r="M177" s="5" t="s">
        <v>612</v>
      </c>
      <c r="N177" s="5"/>
      <c r="O177" s="6" t="str">
        <f ca="1">IFERROR(__xludf.DUMMYFUNCTION("GOOGLETRANSLATE(B177,""ja"",""ko"")"),"수채화 미니 샐러드")</f>
        <v>수채화 미니 샐러드</v>
      </c>
      <c r="P177" s="6"/>
      <c r="Q177" s="7" t="str">
        <f ca="1">IFERROR(__xludf.DUMMYFUNCTION("GOOGLETRANSLATE(B177,""ja"",""zh"")"),"水菜迷你沙拉")</f>
        <v>水菜迷你沙拉</v>
      </c>
      <c r="R177" s="7"/>
      <c r="S177" s="3" t="s">
        <v>616</v>
      </c>
      <c r="T177" s="5" t="str">
        <f ca="1">IFERROR(__xludf.DUMMYFUNCTION("GOOGLETRANSLATE(S177,""ja"",""en"")"),"Mizuna mini salad")</f>
        <v>Mizuna mini salad</v>
      </c>
      <c r="U177" s="6" t="str">
        <f ca="1">IFERROR(__xludf.DUMMYFUNCTION("GOOGLETRANSLATE(S177,""ja"",""ko"")"),"수채화 미니 샐러드")</f>
        <v>수채화 미니 샐러드</v>
      </c>
      <c r="V177" s="7" t="str">
        <f ca="1">IFERROR(__xludf.DUMMYFUNCTION("GOOGLETRANSLATE(S177,""ja"",""zh"")"),"水菜迷你沙拉")</f>
        <v>水菜迷你沙拉</v>
      </c>
      <c r="W177" s="3" t="s">
        <v>264</v>
      </c>
      <c r="X177" s="5" t="str">
        <f ca="1">IFERROR(__xludf.DUMMYFUNCTION("GOOGLETRANSLATE(W177,""ja"",""en"")"),"dressing")</f>
        <v>dressing</v>
      </c>
      <c r="Y177" s="6" t="str">
        <f ca="1">IFERROR(__xludf.DUMMYFUNCTION("GOOGLETRANSLATE(W177,""ja"",""ko"")"),"드레싱")</f>
        <v>드레싱</v>
      </c>
      <c r="Z177" s="7" t="str">
        <f ca="1">IFERROR(__xludf.DUMMYFUNCTION("GOOGLETRANSLATE(W177,""ja"",""zh"")"),"敷料")</f>
        <v>敷料</v>
      </c>
      <c r="AA177" s="3" t="s">
        <v>566</v>
      </c>
      <c r="AB177" s="5" t="str">
        <f ca="1">IFERROR(__xludf.DUMMYFUNCTION("GOOGLETRANSLATE(AA177,""ja"",""en"")"),"edible sesame dressing")</f>
        <v>edible sesame dressing</v>
      </c>
      <c r="AC177" s="6" t="str">
        <f ca="1">IFERROR(__xludf.DUMMYFUNCTION("GOOGLETRANSLATE(AA177,""ja"",""ko"")"),"먹는 참깨")</f>
        <v>먹는 참깨</v>
      </c>
      <c r="AD177" s="7" t="str">
        <f ca="1">IFERROR(__xludf.DUMMYFUNCTION("GOOGLETRANSLATE(AA177,""ja"",""zh"")"),"食用芝麻酱")</f>
        <v>食用芝麻酱</v>
      </c>
      <c r="AE177" s="3" t="s">
        <v>615</v>
      </c>
      <c r="AF177" s="5" t="str">
        <f ca="1">IFERROR(__xludf.DUMMYFUNCTION("GOOGLETRANSLATE(AE177,""ja"",""en"")"),"Grated vegetable dore")</f>
        <v>Grated vegetable dore</v>
      </c>
      <c r="AG177" s="6" t="str">
        <f ca="1">IFERROR(__xludf.DUMMYFUNCTION("GOOGLETRANSLATE(AE177,""ja"",""ko"")"),"스리 오로시 야채 드레")</f>
        <v>스리 오로시 야채 드레</v>
      </c>
      <c r="AH177" s="7" t="str">
        <f ca="1">IFERROR(__xludf.DUMMYFUNCTION("GOOGLETRANSLATE(AE177,""ja"",""zh"")"),"磨碎的蔬菜多尔")</f>
        <v>磨碎的蔬菜多尔</v>
      </c>
      <c r="AI177" s="2"/>
      <c r="AJ177" s="2"/>
      <c r="AK177" s="2"/>
      <c r="AL177" s="2"/>
      <c r="AM177" s="3"/>
      <c r="AN177" s="5"/>
      <c r="AO177" s="6"/>
      <c r="AP177" s="7"/>
      <c r="AQ177" s="3"/>
      <c r="AR177" s="5"/>
      <c r="AS177" s="6"/>
      <c r="AT177" s="7"/>
      <c r="AU177" s="3"/>
      <c r="AV177" s="5"/>
      <c r="AW177" s="6"/>
      <c r="AX177" s="7"/>
      <c r="AY177" s="2"/>
      <c r="AZ177" s="2"/>
      <c r="BA177" s="2"/>
      <c r="BB177" s="2"/>
      <c r="BC177" s="3"/>
      <c r="BD177" s="5"/>
      <c r="BE177" s="6"/>
      <c r="BF177" s="7"/>
      <c r="BG177" s="3"/>
      <c r="BH177" s="5"/>
      <c r="BI177" s="6"/>
      <c r="BJ177" s="7"/>
      <c r="BK177" s="3"/>
      <c r="BL177" s="5"/>
      <c r="BM177" s="6"/>
      <c r="BN177" s="7"/>
      <c r="BO177" s="2"/>
      <c r="BP177" s="2"/>
      <c r="BQ177" s="2"/>
      <c r="BR177" s="2"/>
    </row>
    <row r="178" spans="2:70" ht="18.75" customHeight="1" x14ac:dyDescent="0.25">
      <c r="B178" s="8" t="s">
        <v>617</v>
      </c>
      <c r="C178" s="3" t="s">
        <v>617</v>
      </c>
      <c r="D178" s="3"/>
      <c r="E178" s="5" t="s">
        <v>612</v>
      </c>
      <c r="F178" s="5"/>
      <c r="G178" s="6" t="str">
        <f ca="1">IFERROR(__xludf.DUMMYFUNCTION("GOOGLETRANSLATE(B178,""ja"",""ko"")"),"미즈나의 미니 샐러드")</f>
        <v>미즈나의 미니 샐러드</v>
      </c>
      <c r="H178" s="6"/>
      <c r="I178" s="7" t="str">
        <f ca="1">IFERROR(__xludf.DUMMYFUNCTION("GOOGLETRANSLATE(B178,""ja"",""zh"")"),"水菜迷你沙拉")</f>
        <v>水菜迷你沙拉</v>
      </c>
      <c r="J178" s="7"/>
      <c r="K178" s="3" t="s">
        <v>617</v>
      </c>
      <c r="L178" s="3"/>
      <c r="M178" s="5" t="s">
        <v>612</v>
      </c>
      <c r="N178" s="5"/>
      <c r="O178" s="6" t="str">
        <f ca="1">IFERROR(__xludf.DUMMYFUNCTION("GOOGLETRANSLATE(B178,""ja"",""ko"")"),"미즈나의 미니 샐러드")</f>
        <v>미즈나의 미니 샐러드</v>
      </c>
      <c r="P178" s="6"/>
      <c r="Q178" s="7" t="str">
        <f ca="1">IFERROR(__xludf.DUMMYFUNCTION("GOOGLETRANSLATE(B178,""ja"",""zh"")"),"水菜迷你沙拉")</f>
        <v>水菜迷你沙拉</v>
      </c>
      <c r="R178" s="7"/>
      <c r="S178" s="3" t="s">
        <v>617</v>
      </c>
      <c r="T178" s="5" t="str">
        <f ca="1">IFERROR(__xludf.DUMMYFUNCTION("GOOGLETRANSLATE(S178,""ja"",""en"")"),"Mizuna mini salad")</f>
        <v>Mizuna mini salad</v>
      </c>
      <c r="U178" s="6" t="str">
        <f ca="1">IFERROR(__xludf.DUMMYFUNCTION("GOOGLETRANSLATE(S178,""ja"",""ko"")"),"미즈나의 미니 샐러드")</f>
        <v>미즈나의 미니 샐러드</v>
      </c>
      <c r="V178" s="7" t="str">
        <f ca="1">IFERROR(__xludf.DUMMYFUNCTION("GOOGLETRANSLATE(S178,""ja"",""zh"")"),"水菜迷你沙拉")</f>
        <v>水菜迷你沙拉</v>
      </c>
      <c r="W178" s="3"/>
      <c r="X178" s="5"/>
      <c r="Y178" s="6"/>
      <c r="Z178" s="7"/>
      <c r="AA178" s="3"/>
      <c r="AB178" s="5"/>
      <c r="AC178" s="6"/>
      <c r="AD178" s="7"/>
      <c r="AE178" s="3"/>
      <c r="AF178" s="5"/>
      <c r="AG178" s="6"/>
      <c r="AH178" s="7"/>
      <c r="AI178" s="2"/>
      <c r="AJ178" s="2"/>
      <c r="AK178" s="2"/>
      <c r="AL178" s="2"/>
      <c r="AM178" s="3"/>
      <c r="AN178" s="5"/>
      <c r="AO178" s="6"/>
      <c r="AP178" s="7"/>
      <c r="AQ178" s="3"/>
      <c r="AR178" s="5"/>
      <c r="AS178" s="6"/>
      <c r="AT178" s="7"/>
      <c r="AU178" s="3"/>
      <c r="AV178" s="5"/>
      <c r="AW178" s="6"/>
      <c r="AX178" s="7"/>
      <c r="AY178" s="2"/>
      <c r="AZ178" s="2"/>
      <c r="BA178" s="2"/>
      <c r="BB178" s="2"/>
      <c r="BC178" s="3"/>
      <c r="BD178" s="5"/>
      <c r="BE178" s="6"/>
      <c r="BF178" s="7"/>
      <c r="BG178" s="3"/>
      <c r="BH178" s="5"/>
      <c r="BI178" s="6"/>
      <c r="BJ178" s="7"/>
      <c r="BK178" s="3"/>
      <c r="BL178" s="5"/>
      <c r="BM178" s="6"/>
      <c r="BN178" s="7"/>
      <c r="BO178" s="2"/>
      <c r="BP178" s="2"/>
      <c r="BQ178" s="2"/>
      <c r="BR178" s="2"/>
    </row>
    <row r="179" spans="2:70" ht="18.75" customHeight="1" x14ac:dyDescent="0.25">
      <c r="B179" s="8" t="s">
        <v>618</v>
      </c>
      <c r="C179" s="3" t="s">
        <v>619</v>
      </c>
      <c r="D179" s="3" t="s">
        <v>620</v>
      </c>
      <c r="E179" s="5" t="s">
        <v>612</v>
      </c>
      <c r="F179" s="5"/>
      <c r="G179" s="6" t="str">
        <f ca="1">IFERROR(__xludf.DUMMYFUNCTION("GOOGLETRANSLATE(B179,""ja"",""ko"")"),"샤키 샤키 미즈나 미에 샐러드")</f>
        <v>샤키 샤키 미즈나 미에 샐러드</v>
      </c>
      <c r="H179" s="6"/>
      <c r="I179" s="7" t="str">
        <f ca="1">IFERROR(__xludf.DUMMYFUNCTION("GOOGLETRANSLATE(B179,""ja"",""zh"")"),"脆皮水菜迷你沙拉")</f>
        <v>脆皮水菜迷你沙拉</v>
      </c>
      <c r="J179" s="7"/>
      <c r="K179" s="3" t="s">
        <v>619</v>
      </c>
      <c r="L179" s="3" t="s">
        <v>620</v>
      </c>
      <c r="M179" s="5" t="s">
        <v>612</v>
      </c>
      <c r="N179" s="5"/>
      <c r="O179" s="6" t="str">
        <f ca="1">IFERROR(__xludf.DUMMYFUNCTION("GOOGLETRANSLATE(B179,""ja"",""ko"")"),"샤키 샤키 미즈나 미에 샐러드")</f>
        <v>샤키 샤키 미즈나 미에 샐러드</v>
      </c>
      <c r="P179" s="6"/>
      <c r="Q179" s="7" t="str">
        <f ca="1">IFERROR(__xludf.DUMMYFUNCTION("GOOGLETRANSLATE(B179,""ja"",""zh"")"),"脆皮水菜迷你沙拉")</f>
        <v>脆皮水菜迷你沙拉</v>
      </c>
      <c r="R179" s="7"/>
      <c r="S179" s="3" t="s">
        <v>619</v>
      </c>
      <c r="T179" s="5" t="str">
        <f ca="1">IFERROR(__xludf.DUMMYFUNCTION("GOOGLETRANSLATE(S179,""ja"",""en"")"),"Crispy mizuna")</f>
        <v>Crispy mizuna</v>
      </c>
      <c r="U179" s="6" t="str">
        <f ca="1">IFERROR(__xludf.DUMMYFUNCTION("GOOGLETRANSLATE(S179,""ja"",""ko"")"),"샤키샤키의 미즈나")</f>
        <v>샤키샤키의 미즈나</v>
      </c>
      <c r="V179" s="7" t="str">
        <f ca="1">IFERROR(__xludf.DUMMYFUNCTION("GOOGLETRANSLATE(S179,""ja"",""zh"")"),"脆皮水菜")</f>
        <v>脆皮水菜</v>
      </c>
      <c r="W179" s="3" t="s">
        <v>264</v>
      </c>
      <c r="X179" s="5" t="str">
        <f ca="1">IFERROR(__xludf.DUMMYFUNCTION("GOOGLETRANSLATE(W179,""ja"",""en"")"),"dressing")</f>
        <v>dressing</v>
      </c>
      <c r="Y179" s="6" t="str">
        <f ca="1">IFERROR(__xludf.DUMMYFUNCTION("GOOGLETRANSLATE(W179,""ja"",""ko"")"),"드레싱")</f>
        <v>드레싱</v>
      </c>
      <c r="Z179" s="7" t="str">
        <f ca="1">IFERROR(__xludf.DUMMYFUNCTION("GOOGLETRANSLATE(W179,""ja"",""zh"")"),"敷料")</f>
        <v>敷料</v>
      </c>
      <c r="AA179" s="3" t="s">
        <v>614</v>
      </c>
      <c r="AB179" s="5" t="str">
        <f ca="1">IFERROR(__xludf.DUMMYFUNCTION("GOOGLETRANSLATE(AA179,""ja"",""en"")"),"eating sesame seeds")</f>
        <v>eating sesame seeds</v>
      </c>
      <c r="AC179" s="6" t="str">
        <f ca="1">IFERROR(__xludf.DUMMYFUNCTION("GOOGLETRANSLATE(AA179,""ja"",""ko"")"),"먹는 참깨")</f>
        <v>먹는 참깨</v>
      </c>
      <c r="AD179" s="7" t="str">
        <f ca="1">IFERROR(__xludf.DUMMYFUNCTION("GOOGLETRANSLATE(AA179,""ja"",""zh"")"),"吃芝麻")</f>
        <v>吃芝麻</v>
      </c>
      <c r="AE179" s="3" t="s">
        <v>615</v>
      </c>
      <c r="AF179" s="5" t="str">
        <f ca="1">IFERROR(__xludf.DUMMYFUNCTION("GOOGLETRANSLATE(AE179,""ja"",""en"")"),"Grated vegetable dore")</f>
        <v>Grated vegetable dore</v>
      </c>
      <c r="AG179" s="6" t="str">
        <f ca="1">IFERROR(__xludf.DUMMYFUNCTION("GOOGLETRANSLATE(AE179,""ja"",""ko"")"),"스리 오로시 야채 드레")</f>
        <v>스리 오로시 야채 드레</v>
      </c>
      <c r="AH179" s="7" t="str">
        <f ca="1">IFERROR(__xludf.DUMMYFUNCTION("GOOGLETRANSLATE(AE179,""ja"",""zh"")"),"磨碎的蔬菜多尔")</f>
        <v>磨碎的蔬菜多尔</v>
      </c>
      <c r="AI179" s="2"/>
      <c r="AJ179" s="2"/>
      <c r="AK179" s="2"/>
      <c r="AL179" s="2"/>
      <c r="AM179" s="3"/>
      <c r="AN179" s="5"/>
      <c r="AO179" s="6"/>
      <c r="AP179" s="7"/>
      <c r="AQ179" s="3"/>
      <c r="AR179" s="5"/>
      <c r="AS179" s="6"/>
      <c r="AT179" s="7"/>
      <c r="AU179" s="3"/>
      <c r="AV179" s="5"/>
      <c r="AW179" s="6"/>
      <c r="AX179" s="7"/>
      <c r="AY179" s="2"/>
      <c r="AZ179" s="2"/>
      <c r="BA179" s="2"/>
      <c r="BB179" s="2"/>
      <c r="BC179" s="3"/>
      <c r="BD179" s="5"/>
      <c r="BE179" s="6"/>
      <c r="BF179" s="7"/>
      <c r="BG179" s="3"/>
      <c r="BH179" s="5"/>
      <c r="BI179" s="6"/>
      <c r="BJ179" s="7"/>
      <c r="BK179" s="3"/>
      <c r="BL179" s="5"/>
      <c r="BM179" s="6"/>
      <c r="BN179" s="7"/>
      <c r="BO179" s="2"/>
      <c r="BP179" s="2"/>
      <c r="BQ179" s="2"/>
      <c r="BR179" s="2"/>
    </row>
    <row r="180" spans="2:70" ht="18.75" customHeight="1" x14ac:dyDescent="0.25">
      <c r="B180" s="8" t="s">
        <v>621</v>
      </c>
      <c r="C180" s="3" t="s">
        <v>622</v>
      </c>
      <c r="D180" s="3" t="s">
        <v>623</v>
      </c>
      <c r="E180" s="5" t="s">
        <v>612</v>
      </c>
      <c r="F180" s="5"/>
      <c r="G180" s="6" t="str">
        <f ca="1">IFERROR(__xludf.DUMMYFUNCTION("GOOGLETRANSLATE(B180,""ja"",""ko"")"),"샤키 샤키 미즈나 미니 샐러드")</f>
        <v>샤키 샤키 미즈나 미니 샐러드</v>
      </c>
      <c r="H180" s="6"/>
      <c r="I180" s="7" t="str">
        <f ca="1">IFERROR(__xludf.DUMMYFUNCTION("GOOGLETRANSLATE(B180,""ja"",""zh"")"),"脆皮水菜迷你沙拉")</f>
        <v>脆皮水菜迷你沙拉</v>
      </c>
      <c r="J180" s="7"/>
      <c r="K180" s="3" t="s">
        <v>622</v>
      </c>
      <c r="L180" s="3" t="s">
        <v>623</v>
      </c>
      <c r="M180" s="5" t="s">
        <v>612</v>
      </c>
      <c r="N180" s="5"/>
      <c r="O180" s="6" t="str">
        <f ca="1">IFERROR(__xludf.DUMMYFUNCTION("GOOGLETRANSLATE(B180,""ja"",""ko"")"),"샤키 샤키 미즈나 미니 샐러드")</f>
        <v>샤키 샤키 미즈나 미니 샐러드</v>
      </c>
      <c r="P180" s="6"/>
      <c r="Q180" s="7" t="str">
        <f ca="1">IFERROR(__xludf.DUMMYFUNCTION("GOOGLETRANSLATE(B180,""ja"",""zh"")"),"脆皮水菜迷你沙拉")</f>
        <v>脆皮水菜迷你沙拉</v>
      </c>
      <c r="R180" s="7"/>
      <c r="S180" s="3" t="s">
        <v>622</v>
      </c>
      <c r="T180" s="5" t="str">
        <f ca="1">IFERROR(__xludf.DUMMYFUNCTION("GOOGLETRANSLATE(S180,""ja"",""en"")"),"Crispy Mizuna Mi")</f>
        <v>Crispy Mizuna Mi</v>
      </c>
      <c r="U180" s="6" t="str">
        <f ca="1">IFERROR(__xludf.DUMMYFUNCTION("GOOGLETRANSLATE(S180,""ja"",""ko"")"),"샤키 샤키 미즈나 미")</f>
        <v>샤키 샤키 미즈나 미</v>
      </c>
      <c r="V180" s="7" t="str">
        <f ca="1">IFERROR(__xludf.DUMMYFUNCTION("GOOGLETRANSLATE(S180,""ja"",""zh"")"),"脆皮水菜美")</f>
        <v>脆皮水菜美</v>
      </c>
      <c r="W180" s="3" t="s">
        <v>264</v>
      </c>
      <c r="X180" s="5" t="str">
        <f ca="1">IFERROR(__xludf.DUMMYFUNCTION("GOOGLETRANSLATE(W180,""ja"",""en"")"),"dressing")</f>
        <v>dressing</v>
      </c>
      <c r="Y180" s="6" t="str">
        <f ca="1">IFERROR(__xludf.DUMMYFUNCTION("GOOGLETRANSLATE(W180,""ja"",""ko"")"),"드레싱")</f>
        <v>드레싱</v>
      </c>
      <c r="Z180" s="7" t="str">
        <f ca="1">IFERROR(__xludf.DUMMYFUNCTION("GOOGLETRANSLATE(W180,""ja"",""zh"")"),"敷料")</f>
        <v>敷料</v>
      </c>
      <c r="AA180" s="3" t="s">
        <v>614</v>
      </c>
      <c r="AB180" s="5" t="str">
        <f ca="1">IFERROR(__xludf.DUMMYFUNCTION("GOOGLETRANSLATE(AA180,""ja"",""en"")"),"eating sesame seeds")</f>
        <v>eating sesame seeds</v>
      </c>
      <c r="AC180" s="6" t="str">
        <f ca="1">IFERROR(__xludf.DUMMYFUNCTION("GOOGLETRANSLATE(AA180,""ja"",""ko"")"),"먹는 참깨")</f>
        <v>먹는 참깨</v>
      </c>
      <c r="AD180" s="7" t="str">
        <f ca="1">IFERROR(__xludf.DUMMYFUNCTION("GOOGLETRANSLATE(AA180,""ja"",""zh"")"),"吃芝麻")</f>
        <v>吃芝麻</v>
      </c>
      <c r="AE180" s="3" t="s">
        <v>615</v>
      </c>
      <c r="AF180" s="5" t="str">
        <f ca="1">IFERROR(__xludf.DUMMYFUNCTION("GOOGLETRANSLATE(AE180,""ja"",""en"")"),"Grated vegetable dore")</f>
        <v>Grated vegetable dore</v>
      </c>
      <c r="AG180" s="6" t="str">
        <f ca="1">IFERROR(__xludf.DUMMYFUNCTION("GOOGLETRANSLATE(AE180,""ja"",""ko"")"),"스리 오로시 야채 드레")</f>
        <v>스리 오로시 야채 드레</v>
      </c>
      <c r="AH180" s="7" t="str">
        <f ca="1">IFERROR(__xludf.DUMMYFUNCTION("GOOGLETRANSLATE(AE180,""ja"",""zh"")"),"磨碎的蔬菜多尔")</f>
        <v>磨碎的蔬菜多尔</v>
      </c>
      <c r="AI180" s="2"/>
      <c r="AJ180" s="2"/>
      <c r="AK180" s="2"/>
      <c r="AL180" s="2"/>
      <c r="AM180" s="3"/>
      <c r="AN180" s="5"/>
      <c r="AO180" s="6"/>
      <c r="AP180" s="7"/>
      <c r="AQ180" s="3"/>
      <c r="AR180" s="5"/>
      <c r="AS180" s="6"/>
      <c r="AT180" s="7"/>
      <c r="AU180" s="3"/>
      <c r="AV180" s="5"/>
      <c r="AW180" s="6"/>
      <c r="AX180" s="7"/>
      <c r="AY180" s="2"/>
      <c r="AZ180" s="2"/>
      <c r="BA180" s="2"/>
      <c r="BB180" s="2"/>
      <c r="BC180" s="3"/>
      <c r="BD180" s="5"/>
      <c r="BE180" s="6"/>
      <c r="BF180" s="7"/>
      <c r="BG180" s="3"/>
      <c r="BH180" s="5"/>
      <c r="BI180" s="6"/>
      <c r="BJ180" s="7"/>
      <c r="BK180" s="3"/>
      <c r="BL180" s="5"/>
      <c r="BM180" s="6"/>
      <c r="BN180" s="7"/>
      <c r="BO180" s="2"/>
      <c r="BP180" s="2"/>
      <c r="BQ180" s="2"/>
      <c r="BR180" s="2"/>
    </row>
    <row r="181" spans="2:70" ht="18.75" customHeight="1" x14ac:dyDescent="0.25">
      <c r="B181" s="8" t="s">
        <v>624</v>
      </c>
      <c r="C181" s="3" t="s">
        <v>624</v>
      </c>
      <c r="D181" s="3"/>
      <c r="E181" s="5" t="s">
        <v>625</v>
      </c>
      <c r="F181" s="5"/>
      <c r="G181" s="6" t="str">
        <f ca="1">IFERROR(__xludf.DUMMYFUNCTION("GOOGLETRANSLATE(B181,""ja"",""ko"")"),"추가 네기 큰 모듬")</f>
        <v>추가 네기 큰 모듬</v>
      </c>
      <c r="H181" s="6"/>
      <c r="I181" s="7" t="str">
        <f ca="1">IFERROR(__xludf.DUMMYFUNCTION("GOOGLETRANSLATE(B181,""ja"",""zh"")"),"添加一大份葱")</f>
        <v>添加一大份葱</v>
      </c>
      <c r="J181" s="7"/>
      <c r="K181" s="3" t="s">
        <v>624</v>
      </c>
      <c r="L181" s="3"/>
      <c r="M181" s="5" t="s">
        <v>625</v>
      </c>
      <c r="N181" s="5"/>
      <c r="O181" s="6" t="str">
        <f ca="1">IFERROR(__xludf.DUMMYFUNCTION("GOOGLETRANSLATE(B181,""ja"",""ko"")"),"추가 네기 큰 모듬")</f>
        <v>추가 네기 큰 모듬</v>
      </c>
      <c r="P181" s="6"/>
      <c r="Q181" s="7" t="str">
        <f ca="1">IFERROR(__xludf.DUMMYFUNCTION("GOOGLETRANSLATE(B181,""ja"",""zh"")"),"添加一大份葱")</f>
        <v>添加一大份葱</v>
      </c>
      <c r="R181" s="7"/>
      <c r="S181" s="3" t="s">
        <v>624</v>
      </c>
      <c r="T181" s="5" t="str">
        <f ca="1">IFERROR(__xludf.DUMMYFUNCTION("GOOGLETRANSLATE(S181,""ja"",""en"")"),"Add a large serving of green onions")</f>
        <v>Add a large serving of green onions</v>
      </c>
      <c r="U181" s="6" t="str">
        <f ca="1">IFERROR(__xludf.DUMMYFUNCTION("GOOGLETRANSLATE(S181,""ja"",""ko"")"),"추가 네기 큰 모듬")</f>
        <v>추가 네기 큰 모듬</v>
      </c>
      <c r="V181" s="7" t="str">
        <f ca="1">IFERROR(__xludf.DUMMYFUNCTION("GOOGLETRANSLATE(S181,""ja"",""zh"")"),"添加一大份葱")</f>
        <v>添加一大份葱</v>
      </c>
      <c r="W181" s="3"/>
      <c r="X181" s="5"/>
      <c r="Y181" s="6"/>
      <c r="Z181" s="7"/>
      <c r="AA181" s="3"/>
      <c r="AB181" s="5"/>
      <c r="AC181" s="6"/>
      <c r="AD181" s="7"/>
      <c r="AE181" s="3"/>
      <c r="AF181" s="5"/>
      <c r="AG181" s="6"/>
      <c r="AH181" s="7"/>
      <c r="AI181" s="2"/>
      <c r="AJ181" s="2"/>
      <c r="AK181" s="2"/>
      <c r="AL181" s="2"/>
      <c r="AM181" s="3"/>
      <c r="AN181" s="5"/>
      <c r="AO181" s="6"/>
      <c r="AP181" s="7"/>
      <c r="AQ181" s="3"/>
      <c r="AR181" s="5"/>
      <c r="AS181" s="6"/>
      <c r="AT181" s="7"/>
      <c r="AU181" s="3"/>
      <c r="AV181" s="5"/>
      <c r="AW181" s="6"/>
      <c r="AX181" s="7"/>
      <c r="AY181" s="2"/>
      <c r="AZ181" s="2"/>
      <c r="BA181" s="2"/>
      <c r="BB181" s="2"/>
      <c r="BC181" s="3"/>
      <c r="BD181" s="5"/>
      <c r="BE181" s="6"/>
      <c r="BF181" s="7"/>
      <c r="BG181" s="3"/>
      <c r="BH181" s="5"/>
      <c r="BI181" s="6"/>
      <c r="BJ181" s="7"/>
      <c r="BK181" s="3"/>
      <c r="BL181" s="5"/>
      <c r="BM181" s="6"/>
      <c r="BN181" s="7"/>
      <c r="BO181" s="2"/>
      <c r="BP181" s="2"/>
      <c r="BQ181" s="2"/>
      <c r="BR181" s="2"/>
    </row>
    <row r="182" spans="2:70" ht="18.75" customHeight="1" x14ac:dyDescent="0.25">
      <c r="B182" s="8" t="s">
        <v>626</v>
      </c>
      <c r="C182" s="3" t="s">
        <v>626</v>
      </c>
      <c r="D182" s="3"/>
      <c r="E182" s="5" t="s">
        <v>627</v>
      </c>
      <c r="F182" s="5"/>
      <c r="G182" s="6" t="str">
        <f ca="1">IFERROR(__xludf.DUMMYFUNCTION("GOOGLETRANSLATE(B182,""ja"",""ko"")"),"추가 생강")</f>
        <v>추가 생강</v>
      </c>
      <c r="H182" s="6"/>
      <c r="I182" s="7" t="str">
        <f ca="1">IFERROR(__xludf.DUMMYFUNCTION("GOOGLETRANSLATE(B182,""ja"",""zh"")"),"添加生姜")</f>
        <v>添加生姜</v>
      </c>
      <c r="J182" s="7"/>
      <c r="K182" s="3" t="s">
        <v>626</v>
      </c>
      <c r="L182" s="3"/>
      <c r="M182" s="5" t="s">
        <v>627</v>
      </c>
      <c r="N182" s="5"/>
      <c r="O182" s="6" t="str">
        <f ca="1">IFERROR(__xludf.DUMMYFUNCTION("GOOGLETRANSLATE(B182,""ja"",""ko"")"),"추가 생강")</f>
        <v>추가 생강</v>
      </c>
      <c r="P182" s="6"/>
      <c r="Q182" s="7" t="str">
        <f ca="1">IFERROR(__xludf.DUMMYFUNCTION("GOOGLETRANSLATE(B182,""ja"",""zh"")"),"添加生姜")</f>
        <v>添加生姜</v>
      </c>
      <c r="R182" s="7"/>
      <c r="S182" s="3" t="s">
        <v>626</v>
      </c>
      <c r="T182" s="5" t="str">
        <f ca="1">IFERROR(__xludf.DUMMYFUNCTION("GOOGLETRANSLATE(S182,""ja"",""en"")"),"Add ginger")</f>
        <v>Add ginger</v>
      </c>
      <c r="U182" s="6" t="str">
        <f ca="1">IFERROR(__xludf.DUMMYFUNCTION("GOOGLETRANSLATE(S182,""ja"",""ko"")"),"추가 생강")</f>
        <v>추가 생강</v>
      </c>
      <c r="V182" s="7" t="str">
        <f ca="1">IFERROR(__xludf.DUMMYFUNCTION("GOOGLETRANSLATE(S182,""ja"",""zh"")"),"添加生姜")</f>
        <v>添加生姜</v>
      </c>
      <c r="W182" s="3"/>
      <c r="X182" s="5"/>
      <c r="Y182" s="6"/>
      <c r="Z182" s="7"/>
      <c r="AA182" s="3"/>
      <c r="AB182" s="5"/>
      <c r="AC182" s="6"/>
      <c r="AD182" s="7"/>
      <c r="AE182" s="3"/>
      <c r="AF182" s="5"/>
      <c r="AG182" s="6"/>
      <c r="AH182" s="7"/>
      <c r="AI182" s="2"/>
      <c r="AJ182" s="2"/>
      <c r="AK182" s="2"/>
      <c r="AL182" s="2"/>
      <c r="AM182" s="3"/>
      <c r="AN182" s="5"/>
      <c r="AO182" s="6"/>
      <c r="AP182" s="7"/>
      <c r="AQ182" s="3"/>
      <c r="AR182" s="5"/>
      <c r="AS182" s="6"/>
      <c r="AT182" s="7"/>
      <c r="AU182" s="3"/>
      <c r="AV182" s="5"/>
      <c r="AW182" s="6"/>
      <c r="AX182" s="7"/>
      <c r="AY182" s="2"/>
      <c r="AZ182" s="2"/>
      <c r="BA182" s="2"/>
      <c r="BB182" s="2"/>
      <c r="BC182" s="3"/>
      <c r="BD182" s="5"/>
      <c r="BE182" s="6"/>
      <c r="BF182" s="7"/>
      <c r="BG182" s="3"/>
      <c r="BH182" s="5"/>
      <c r="BI182" s="6"/>
      <c r="BJ182" s="7"/>
      <c r="BK182" s="3"/>
      <c r="BL182" s="5"/>
      <c r="BM182" s="6"/>
      <c r="BN182" s="7"/>
      <c r="BO182" s="2"/>
      <c r="BP182" s="2"/>
      <c r="BQ182" s="2"/>
      <c r="BR182" s="2"/>
    </row>
    <row r="183" spans="2:70" ht="18.75" customHeight="1" x14ac:dyDescent="0.25">
      <c r="B183" s="8" t="s">
        <v>628</v>
      </c>
      <c r="C183" s="3" t="s">
        <v>628</v>
      </c>
      <c r="D183" s="3"/>
      <c r="E183" s="5" t="s">
        <v>629</v>
      </c>
      <c r="F183" s="5"/>
      <c r="G183" s="6" t="str">
        <f ca="1">IFERROR(__xludf.DUMMYFUNCTION("GOOGLETRANSLATE(B183,""ja"",""ko"")"),"안주 세트")</f>
        <v>안주 세트</v>
      </c>
      <c r="H183" s="6"/>
      <c r="I183" s="7" t="str">
        <f ca="1">IFERROR(__xludf.DUMMYFUNCTION("GOOGLETRANSLATE(B183,""ja"",""zh"")"),"小吃套装")</f>
        <v>小吃套装</v>
      </c>
      <c r="J183" s="7"/>
      <c r="K183" s="3" t="s">
        <v>628</v>
      </c>
      <c r="L183" s="3"/>
      <c r="M183" s="5" t="s">
        <v>629</v>
      </c>
      <c r="N183" s="5"/>
      <c r="O183" s="6" t="str">
        <f ca="1">IFERROR(__xludf.DUMMYFUNCTION("GOOGLETRANSLATE(B183,""ja"",""ko"")"),"안주 세트")</f>
        <v>안주 세트</v>
      </c>
      <c r="P183" s="6"/>
      <c r="Q183" s="7" t="str">
        <f ca="1">IFERROR(__xludf.DUMMYFUNCTION("GOOGLETRANSLATE(B183,""ja"",""zh"")"),"小吃套装")</f>
        <v>小吃套装</v>
      </c>
      <c r="R183" s="7"/>
      <c r="S183" s="3" t="s">
        <v>628</v>
      </c>
      <c r="T183" s="5" t="str">
        <f ca="1">IFERROR(__xludf.DUMMYFUNCTION("GOOGLETRANSLATE(S183,""ja"",""en"")"),"snack set")</f>
        <v>snack set</v>
      </c>
      <c r="U183" s="6" t="str">
        <f ca="1">IFERROR(__xludf.DUMMYFUNCTION("GOOGLETRANSLATE(S183,""ja"",""ko"")"),"안주 세트")</f>
        <v>안주 세트</v>
      </c>
      <c r="V183" s="7" t="str">
        <f ca="1">IFERROR(__xludf.DUMMYFUNCTION("GOOGLETRANSLATE(S183,""ja"",""zh"")"),"小吃套装")</f>
        <v>小吃套装</v>
      </c>
      <c r="W183" s="3"/>
      <c r="X183" s="5"/>
      <c r="Y183" s="6"/>
      <c r="Z183" s="7"/>
      <c r="AA183" s="3"/>
      <c r="AB183" s="5"/>
      <c r="AC183" s="6"/>
      <c r="AD183" s="7"/>
      <c r="AE183" s="3"/>
      <c r="AF183" s="5"/>
      <c r="AG183" s="6"/>
      <c r="AH183" s="7"/>
      <c r="AI183" s="2"/>
      <c r="AJ183" s="2"/>
      <c r="AK183" s="2"/>
      <c r="AL183" s="2"/>
      <c r="AM183" s="3"/>
      <c r="AN183" s="5"/>
      <c r="AO183" s="6"/>
      <c r="AP183" s="7"/>
      <c r="AQ183" s="3"/>
      <c r="AR183" s="5"/>
      <c r="AS183" s="6"/>
      <c r="AT183" s="7"/>
      <c r="AU183" s="3"/>
      <c r="AV183" s="5"/>
      <c r="AW183" s="6"/>
      <c r="AX183" s="7"/>
      <c r="AY183" s="2"/>
      <c r="AZ183" s="2"/>
      <c r="BA183" s="2"/>
      <c r="BB183" s="2"/>
      <c r="BC183" s="3"/>
      <c r="BD183" s="5"/>
      <c r="BE183" s="6"/>
      <c r="BF183" s="7"/>
      <c r="BG183" s="3"/>
      <c r="BH183" s="5"/>
      <c r="BI183" s="6"/>
      <c r="BJ183" s="7"/>
      <c r="BK183" s="3"/>
      <c r="BL183" s="5"/>
      <c r="BM183" s="6"/>
      <c r="BN183" s="7"/>
      <c r="BO183" s="2"/>
      <c r="BP183" s="2"/>
      <c r="BQ183" s="2"/>
      <c r="BR183" s="2"/>
    </row>
    <row r="184" spans="2:70" ht="18.75" customHeight="1" x14ac:dyDescent="0.25">
      <c r="B184" s="8" t="s">
        <v>630</v>
      </c>
      <c r="C184" s="3" t="s">
        <v>631</v>
      </c>
      <c r="D184" s="3" t="s">
        <v>572</v>
      </c>
      <c r="E184" s="5" t="s">
        <v>632</v>
      </c>
      <c r="F184" s="5"/>
      <c r="G184" s="6" t="str">
        <f ca="1">IFERROR(__xludf.DUMMYFUNCTION("GOOGLETRANSLATE(B184,""ja"",""ko"")"),"오코사마 우동 세트")</f>
        <v>오코사마 우동 세트</v>
      </c>
      <c r="H184" s="6"/>
      <c r="I184" s="7" t="str">
        <f ca="1">IFERROR(__xludf.DUMMYFUNCTION("GOOGLETRANSLATE(B184,""ja"",""zh"")"),"儿童乌冬面套餐")</f>
        <v>儿童乌冬面套餐</v>
      </c>
      <c r="J184" s="7"/>
      <c r="K184" s="3" t="s">
        <v>631</v>
      </c>
      <c r="L184" s="3" t="s">
        <v>572</v>
      </c>
      <c r="M184" s="5" t="s">
        <v>632</v>
      </c>
      <c r="N184" s="5"/>
      <c r="O184" s="6" t="str">
        <f ca="1">IFERROR(__xludf.DUMMYFUNCTION("GOOGLETRANSLATE(B184,""ja"",""ko"")"),"오코사마 우동 세트")</f>
        <v>오코사마 우동 세트</v>
      </c>
      <c r="P184" s="6"/>
      <c r="Q184" s="7" t="str">
        <f ca="1">IFERROR(__xludf.DUMMYFUNCTION("GOOGLETRANSLATE(B184,""ja"",""zh"")"),"儿童乌冬面套餐")</f>
        <v>儿童乌冬面套餐</v>
      </c>
      <c r="R184" s="7"/>
      <c r="S184" s="3" t="s">
        <v>631</v>
      </c>
      <c r="T184" s="5" t="str">
        <f ca="1">IFERROR(__xludf.DUMMYFUNCTION("GOOGLETRANSLATE(S184,""ja"",""en"")"),"Children udon set")</f>
        <v>Children udon set</v>
      </c>
      <c r="U184" s="6" t="str">
        <f ca="1">IFERROR(__xludf.DUMMYFUNCTION("GOOGLETRANSLATE(S184,""ja"",""ko"")"),"오코사마 우동 세트")</f>
        <v>오코사마 우동 세트</v>
      </c>
      <c r="V184" s="7" t="str">
        <f ca="1">IFERROR(__xludf.DUMMYFUNCTION("GOOGLETRANSLATE(S184,""ja"",""zh"")"),"儿童乌冬面套餐")</f>
        <v>儿童乌冬面套餐</v>
      </c>
      <c r="W184" s="3" t="s">
        <v>633</v>
      </c>
      <c r="X184" s="5" t="str">
        <f ca="1">IFERROR(__xludf.DUMMYFUNCTION("GOOGLETRANSLATE(W184,""ja"",""en"")"),"Tsuyu")</f>
        <v>Tsuyu</v>
      </c>
      <c r="Y184" s="6" t="str">
        <f ca="1">IFERROR(__xludf.DUMMYFUNCTION("GOOGLETRANSLATE(W184,""ja"",""ko"")"),"츠유")</f>
        <v>츠유</v>
      </c>
      <c r="Z184" s="7" t="str">
        <f ca="1">IFERROR(__xludf.DUMMYFUNCTION("GOOGLETRANSLATE(W184,""ja"",""zh"")"),"露")</f>
        <v>露</v>
      </c>
      <c r="AA184" s="3" t="s">
        <v>634</v>
      </c>
      <c r="AB184" s="5" t="str">
        <f ca="1">IFERROR(__xludf.DUMMYFUNCTION("GOOGLETRANSLATE(AA184,""ja"",""en"")"),"Kake udon (warm)")</f>
        <v>Kake udon (warm)</v>
      </c>
      <c r="AC184" s="6" t="str">
        <f ca="1">IFERROR(__xludf.DUMMYFUNCTION("GOOGLETRANSLATE(AA184,""ja"",""ko"")"),"가케 우동 (온)")</f>
        <v>가케 우동 (온)</v>
      </c>
      <c r="AD184" s="7" t="str">
        <f ca="1">IFERROR(__xludf.DUMMYFUNCTION("GOOGLETRANSLATE(AA184,""ja"",""zh"")"),"加计乌冬面（温）")</f>
        <v>加计乌冬面（温）</v>
      </c>
      <c r="AE184" s="3" t="s">
        <v>635</v>
      </c>
      <c r="AF184" s="5" t="str">
        <f ca="1">IFERROR(__xludf.DUMMYFUNCTION("GOOGLETRANSLATE(AE184,""ja"",""en"")"),"Bukkake (cold)")</f>
        <v>Bukkake (cold)</v>
      </c>
      <c r="AG184" s="6" t="str">
        <f ca="1">IFERROR(__xludf.DUMMYFUNCTION("GOOGLETRANSLATE(AE184,""ja"",""ko"")"),"부카케(냉)")</f>
        <v>부카케(냉)</v>
      </c>
      <c r="AH184" s="7" t="str">
        <f ca="1">IFERROR(__xludf.DUMMYFUNCTION("GOOGLETRANSLATE(AE184,""ja"",""zh"")"),"颜射（冷）")</f>
        <v>颜射（冷）</v>
      </c>
      <c r="AI184" s="2"/>
      <c r="AJ184" s="2"/>
      <c r="AK184" s="2"/>
      <c r="AL184" s="2"/>
      <c r="AM184" s="3"/>
      <c r="AN184" s="5"/>
      <c r="AO184" s="6"/>
      <c r="AP184" s="7"/>
      <c r="AQ184" s="3"/>
      <c r="AR184" s="5"/>
      <c r="AS184" s="6"/>
      <c r="AT184" s="7"/>
      <c r="AU184" s="3"/>
      <c r="AV184" s="5"/>
      <c r="AW184" s="6"/>
      <c r="AX184" s="7"/>
      <c r="AY184" s="2"/>
      <c r="AZ184" s="2"/>
      <c r="BA184" s="2"/>
      <c r="BB184" s="2"/>
      <c r="BC184" s="3"/>
      <c r="BD184" s="5"/>
      <c r="BE184" s="6"/>
      <c r="BF184" s="7"/>
      <c r="BG184" s="3"/>
      <c r="BH184" s="5"/>
      <c r="BI184" s="6"/>
      <c r="BJ184" s="7"/>
      <c r="BK184" s="3"/>
      <c r="BL184" s="5"/>
      <c r="BM184" s="6"/>
      <c r="BN184" s="7"/>
      <c r="BO184" s="2"/>
      <c r="BP184" s="2"/>
      <c r="BQ184" s="2"/>
      <c r="BR184" s="2"/>
    </row>
    <row r="185" spans="2:70" ht="18.75" customHeight="1" x14ac:dyDescent="0.25">
      <c r="B185" s="8" t="s">
        <v>636</v>
      </c>
      <c r="C185" s="3" t="s">
        <v>636</v>
      </c>
      <c r="D185" s="3"/>
      <c r="E185" s="5" t="s">
        <v>637</v>
      </c>
      <c r="F185" s="5"/>
      <c r="G185" s="6" t="str">
        <f ca="1">IFERROR(__xludf.DUMMYFUNCTION("GOOGLETRANSLATE(B185,""ja"",""ko"")"),"소시지 모듬")</f>
        <v>소시지 모듬</v>
      </c>
      <c r="H185" s="6"/>
      <c r="I185" s="7" t="str">
        <f ca="1">IFERROR(__xludf.DUMMYFUNCTION("GOOGLETRANSLATE(B185,""ja"",""zh"")"),"什锦香肠")</f>
        <v>什锦香肠</v>
      </c>
      <c r="J185" s="7"/>
      <c r="K185" s="3" t="s">
        <v>636</v>
      </c>
      <c r="L185" s="3"/>
      <c r="M185" s="5" t="s">
        <v>637</v>
      </c>
      <c r="N185" s="5"/>
      <c r="O185" s="6" t="str">
        <f ca="1">IFERROR(__xludf.DUMMYFUNCTION("GOOGLETRANSLATE(B185,""ja"",""ko"")"),"소시지 모듬")</f>
        <v>소시지 모듬</v>
      </c>
      <c r="P185" s="6"/>
      <c r="Q185" s="7" t="str">
        <f ca="1">IFERROR(__xludf.DUMMYFUNCTION("GOOGLETRANSLATE(B185,""ja"",""zh"")"),"什锦香肠")</f>
        <v>什锦香肠</v>
      </c>
      <c r="R185" s="7"/>
      <c r="S185" s="3" t="s">
        <v>636</v>
      </c>
      <c r="T185" s="5" t="str">
        <f ca="1">IFERROR(__xludf.DUMMYFUNCTION("GOOGLETRANSLATE(S185,""ja"",""en"")"),"Assorted sausages")</f>
        <v>Assorted sausages</v>
      </c>
      <c r="U185" s="6" t="str">
        <f ca="1">IFERROR(__xludf.DUMMYFUNCTION("GOOGLETRANSLATE(S185,""ja"",""ko"")"),"소시지 모듬")</f>
        <v>소시지 모듬</v>
      </c>
      <c r="V185" s="7" t="str">
        <f ca="1">IFERROR(__xludf.DUMMYFUNCTION("GOOGLETRANSLATE(S185,""ja"",""zh"")"),"什锦香肠")</f>
        <v>什锦香肠</v>
      </c>
      <c r="W185" s="3"/>
      <c r="X185" s="5"/>
      <c r="Y185" s="6"/>
      <c r="Z185" s="7"/>
      <c r="AA185" s="3"/>
      <c r="AB185" s="5"/>
      <c r="AC185" s="6"/>
      <c r="AD185" s="7"/>
      <c r="AE185" s="3"/>
      <c r="AF185" s="5"/>
      <c r="AG185" s="6"/>
      <c r="AH185" s="7"/>
      <c r="AI185" s="2"/>
      <c r="AJ185" s="2"/>
      <c r="AK185" s="2"/>
      <c r="AL185" s="2"/>
      <c r="AM185" s="3"/>
      <c r="AN185" s="5"/>
      <c r="AO185" s="6"/>
      <c r="AP185" s="7"/>
      <c r="AQ185" s="3"/>
      <c r="AR185" s="5"/>
      <c r="AS185" s="6"/>
      <c r="AT185" s="7"/>
      <c r="AU185" s="3"/>
      <c r="AV185" s="5"/>
      <c r="AW185" s="6"/>
      <c r="AX185" s="7"/>
      <c r="AY185" s="2"/>
      <c r="AZ185" s="2"/>
      <c r="BA185" s="2"/>
      <c r="BB185" s="2"/>
      <c r="BC185" s="3"/>
      <c r="BD185" s="5"/>
      <c r="BE185" s="6"/>
      <c r="BF185" s="7"/>
      <c r="BG185" s="3"/>
      <c r="BH185" s="5"/>
      <c r="BI185" s="6"/>
      <c r="BJ185" s="7"/>
      <c r="BK185" s="3"/>
      <c r="BL185" s="5"/>
      <c r="BM185" s="6"/>
      <c r="BN185" s="7"/>
      <c r="BO185" s="2"/>
      <c r="BP185" s="2"/>
      <c r="BQ185" s="2"/>
      <c r="BR185" s="2"/>
    </row>
    <row r="186" spans="2:70" ht="18.75" customHeight="1" x14ac:dyDescent="0.25">
      <c r="B186" s="8" t="s">
        <v>638</v>
      </c>
      <c r="C186" s="3" t="s">
        <v>639</v>
      </c>
      <c r="D186" s="3"/>
      <c r="E186" s="5" t="s">
        <v>640</v>
      </c>
      <c r="F186" s="5" t="s">
        <v>565</v>
      </c>
      <c r="G186" s="6" t="str">
        <f ca="1">IFERROR(__xludf.DUMMYFUNCTION("GOOGLETRANSLATE(B186,""ja"",""ko"")"),"극단 치라시 장어")</f>
        <v>극단 치라시 장어</v>
      </c>
      <c r="H186" s="6"/>
      <c r="I186" s="7" t="str">
        <f ca="1">IFERROR(__xludf.DUMMYFUNCTION("GOOGLETRANSLATE(B186,""ja"",""zh"")"),"特厚散鳗鱼")</f>
        <v>特厚散鳗鱼</v>
      </c>
      <c r="J186" s="7"/>
      <c r="K186" s="3" t="s">
        <v>639</v>
      </c>
      <c r="L186" s="3"/>
      <c r="M186" s="5" t="s">
        <v>640</v>
      </c>
      <c r="N186" s="5" t="s">
        <v>565</v>
      </c>
      <c r="O186" s="6" t="str">
        <f ca="1">IFERROR(__xludf.DUMMYFUNCTION("GOOGLETRANSLATE(B186,""ja"",""ko"")"),"극단 치라시 장어")</f>
        <v>극단 치라시 장어</v>
      </c>
      <c r="P186" s="6"/>
      <c r="Q186" s="7" t="str">
        <f ca="1">IFERROR(__xludf.DUMMYFUNCTION("GOOGLETRANSLATE(B186,""ja"",""zh"")"),"特厚散鳗鱼")</f>
        <v>特厚散鳗鱼</v>
      </c>
      <c r="R186" s="7"/>
      <c r="S186" s="3" t="s">
        <v>639</v>
      </c>
      <c r="T186" s="5" t="str">
        <f ca="1">IFERROR(__xludf.DUMMYFUNCTION("GOOGLETRANSLATE(S186,""ja"",""en"")"),"Extra thick chirashi eel")</f>
        <v>Extra thick chirashi eel</v>
      </c>
      <c r="U186" s="6" t="str">
        <f ca="1">IFERROR(__xludf.DUMMYFUNCTION("GOOGLETRANSLATE(S186,""ja"",""ko"")"),"극단 치라시 장어")</f>
        <v>극단 치라시 장어</v>
      </c>
      <c r="V186" s="7" t="str">
        <f ca="1">IFERROR(__xludf.DUMMYFUNCTION("GOOGLETRANSLATE(S186,""ja"",""zh"")"),"特厚散鳗鱼")</f>
        <v>特厚散鳗鱼</v>
      </c>
      <c r="W186" s="3"/>
      <c r="X186" s="5"/>
      <c r="Y186" s="6"/>
      <c r="Z186" s="7"/>
      <c r="AA186" s="3"/>
      <c r="AB186" s="5"/>
      <c r="AC186" s="6"/>
      <c r="AD186" s="7"/>
      <c r="AE186" s="3"/>
      <c r="AF186" s="5"/>
      <c r="AG186" s="6"/>
      <c r="AH186" s="7"/>
      <c r="AI186" s="2"/>
      <c r="AJ186" s="2"/>
      <c r="AK186" s="2"/>
      <c r="AL186" s="2"/>
      <c r="AM186" s="3"/>
      <c r="AN186" s="5"/>
      <c r="AO186" s="6"/>
      <c r="AP186" s="7"/>
      <c r="AQ186" s="3"/>
      <c r="AR186" s="5"/>
      <c r="AS186" s="6"/>
      <c r="AT186" s="7"/>
      <c r="AU186" s="3"/>
      <c r="AV186" s="5"/>
      <c r="AW186" s="6"/>
      <c r="AX186" s="7"/>
      <c r="AY186" s="2"/>
      <c r="AZ186" s="2"/>
      <c r="BA186" s="2"/>
      <c r="BB186" s="2"/>
      <c r="BC186" s="3"/>
      <c r="BD186" s="5"/>
      <c r="BE186" s="6"/>
      <c r="BF186" s="7"/>
      <c r="BG186" s="3"/>
      <c r="BH186" s="5"/>
      <c r="BI186" s="6"/>
      <c r="BJ186" s="7"/>
      <c r="BK186" s="3"/>
      <c r="BL186" s="5"/>
      <c r="BM186" s="6"/>
      <c r="BN186" s="7"/>
      <c r="BO186" s="2"/>
      <c r="BP186" s="2"/>
      <c r="BQ186" s="2"/>
      <c r="BR186" s="2"/>
    </row>
    <row r="187" spans="2:70" ht="18.75" customHeight="1" x14ac:dyDescent="0.25">
      <c r="B187" s="8" t="s">
        <v>641</v>
      </c>
      <c r="C187" s="3" t="s">
        <v>641</v>
      </c>
      <c r="D187" s="3"/>
      <c r="E187" s="5" t="s">
        <v>640</v>
      </c>
      <c r="F187" s="5" t="s">
        <v>502</v>
      </c>
      <c r="G187" s="6" t="str">
        <f ca="1">IFERROR(__xludf.DUMMYFUNCTION("GOOGLETRANSLATE(B187,""ja"",""ko"")"),"블루 노리 치라시 장어")</f>
        <v>블루 노리 치라시 장어</v>
      </c>
      <c r="H187" s="6"/>
      <c r="I187" s="7" t="str">
        <f ca="1">IFERROR(__xludf.DUMMYFUNCTION("GOOGLETRANSLATE(B187,""ja"",""zh"")"),"青典散鳗鱼")</f>
        <v>青典散鳗鱼</v>
      </c>
      <c r="J187" s="7"/>
      <c r="K187" s="3" t="s">
        <v>641</v>
      </c>
      <c r="L187" s="3"/>
      <c r="M187" s="5" t="s">
        <v>640</v>
      </c>
      <c r="N187" s="5" t="s">
        <v>502</v>
      </c>
      <c r="O187" s="6" t="str">
        <f ca="1">IFERROR(__xludf.DUMMYFUNCTION("GOOGLETRANSLATE(B187,""ja"",""ko"")"),"블루 노리 치라시 장어")</f>
        <v>블루 노리 치라시 장어</v>
      </c>
      <c r="P187" s="6"/>
      <c r="Q187" s="7" t="str">
        <f ca="1">IFERROR(__xludf.DUMMYFUNCTION("GOOGLETRANSLATE(B187,""ja"",""zh"")"),"青典散鳗鱼")</f>
        <v>青典散鳗鱼</v>
      </c>
      <c r="R187" s="7"/>
      <c r="S187" s="3" t="s">
        <v>641</v>
      </c>
      <c r="T187" s="5" t="str">
        <f ca="1">IFERROR(__xludf.DUMMYFUNCTION("GOOGLETRANSLATE(S187,""ja"",""en"")"),"Aonori Chirashi Eel")</f>
        <v>Aonori Chirashi Eel</v>
      </c>
      <c r="U187" s="6" t="str">
        <f ca="1">IFERROR(__xludf.DUMMYFUNCTION("GOOGLETRANSLATE(S187,""ja"",""ko"")"),"블루 노리 치라시 장어")</f>
        <v>블루 노리 치라시 장어</v>
      </c>
      <c r="V187" s="7" t="str">
        <f ca="1">IFERROR(__xludf.DUMMYFUNCTION("GOOGLETRANSLATE(S187,""ja"",""zh"")"),"青典散鳗鱼")</f>
        <v>青典散鳗鱼</v>
      </c>
      <c r="W187" s="3"/>
      <c r="X187" s="5"/>
      <c r="Y187" s="6"/>
      <c r="Z187" s="7"/>
      <c r="AA187" s="3"/>
      <c r="AB187" s="5"/>
      <c r="AC187" s="6"/>
      <c r="AD187" s="7"/>
      <c r="AE187" s="3"/>
      <c r="AF187" s="5"/>
      <c r="AG187" s="6"/>
      <c r="AH187" s="7"/>
      <c r="AI187" s="2"/>
      <c r="AJ187" s="2"/>
      <c r="AK187" s="2"/>
      <c r="AL187" s="2"/>
      <c r="AM187" s="3"/>
      <c r="AN187" s="5"/>
      <c r="AO187" s="6"/>
      <c r="AP187" s="7"/>
      <c r="AQ187" s="3"/>
      <c r="AR187" s="5"/>
      <c r="AS187" s="6"/>
      <c r="AT187" s="7"/>
      <c r="AU187" s="3"/>
      <c r="AV187" s="5"/>
      <c r="AW187" s="6"/>
      <c r="AX187" s="7"/>
      <c r="AY187" s="2"/>
      <c r="AZ187" s="2"/>
      <c r="BA187" s="2"/>
      <c r="BB187" s="2"/>
      <c r="BC187" s="3"/>
      <c r="BD187" s="5"/>
      <c r="BE187" s="6"/>
      <c r="BF187" s="7"/>
      <c r="BG187" s="3"/>
      <c r="BH187" s="5"/>
      <c r="BI187" s="6"/>
      <c r="BJ187" s="7"/>
      <c r="BK187" s="3"/>
      <c r="BL187" s="5"/>
      <c r="BM187" s="6"/>
      <c r="BN187" s="7"/>
      <c r="BO187" s="2"/>
      <c r="BP187" s="2"/>
      <c r="BQ187" s="2"/>
      <c r="BR187" s="2"/>
    </row>
    <row r="188" spans="2:70" ht="18.75" customHeight="1" x14ac:dyDescent="0.25">
      <c r="B188" s="8" t="s">
        <v>642</v>
      </c>
      <c r="C188" s="3" t="s">
        <v>643</v>
      </c>
      <c r="D188" s="3" t="s">
        <v>644</v>
      </c>
      <c r="E188" s="5" t="s">
        <v>645</v>
      </c>
      <c r="F188" s="5" t="s">
        <v>565</v>
      </c>
      <c r="G188" s="6" t="str">
        <f ca="1">IFERROR(__xludf.DUMMYFUNCTION("GOOGLETRANSLATE(B188,""ja"",""ko"")"),"극단 부드러운 쇠고기 장어")</f>
        <v>극단 부드러운 쇠고기 장어</v>
      </c>
      <c r="H188" s="6"/>
      <c r="I188" s="7" t="str">
        <f ca="1">IFERROR(__xludf.DUMMYFUNCTION("GOOGLETRANSLATE(B188,""ja"",""zh"")"),"特厚、嫩牛肉、鳗鱼")</f>
        <v>特厚、嫩牛肉、鳗鱼</v>
      </c>
      <c r="J188" s="7"/>
      <c r="K188" s="3" t="s">
        <v>643</v>
      </c>
      <c r="L188" s="3" t="s">
        <v>644</v>
      </c>
      <c r="M188" s="5" t="s">
        <v>645</v>
      </c>
      <c r="N188" s="5" t="s">
        <v>565</v>
      </c>
      <c r="O188" s="6" t="str">
        <f ca="1">IFERROR(__xludf.DUMMYFUNCTION("GOOGLETRANSLATE(B188,""ja"",""ko"")"),"극단 부드러운 쇠고기 장어")</f>
        <v>극단 부드러운 쇠고기 장어</v>
      </c>
      <c r="P188" s="6"/>
      <c r="Q188" s="7" t="str">
        <f ca="1">IFERROR(__xludf.DUMMYFUNCTION("GOOGLETRANSLATE(B188,""ja"",""zh"")"),"特厚、嫩牛肉、鳗鱼")</f>
        <v>特厚、嫩牛肉、鳗鱼</v>
      </c>
      <c r="R188" s="7"/>
      <c r="S188" s="3" t="s">
        <v>643</v>
      </c>
      <c r="T188" s="5" t="str">
        <f ca="1">IFERROR(__xludf.DUMMYFUNCTION("GOOGLETRANSLATE(S188,""ja"",""en"")"),"Extra thick and tender beef")</f>
        <v>Extra thick and tender beef</v>
      </c>
      <c r="U188" s="6" t="str">
        <f ca="1">IFERROR(__xludf.DUMMYFUNCTION("GOOGLETRANSLATE(S188,""ja"",""ko"")"),"극단 부드러운 쇠고기")</f>
        <v>극단 부드러운 쇠고기</v>
      </c>
      <c r="V188" s="7" t="str">
        <f ca="1">IFERROR(__xludf.DUMMYFUNCTION("GOOGLETRANSLATE(S188,""ja"",""zh"")"),"牛肉又厚又嫩")</f>
        <v>牛肉又厚又嫩</v>
      </c>
      <c r="W188" s="3"/>
      <c r="X188" s="5"/>
      <c r="Y188" s="6"/>
      <c r="Z188" s="7"/>
      <c r="AA188" s="3"/>
      <c r="AB188" s="5"/>
      <c r="AC188" s="6"/>
      <c r="AD188" s="7"/>
      <c r="AE188" s="3"/>
      <c r="AF188" s="5"/>
      <c r="AG188" s="6"/>
      <c r="AH188" s="7"/>
      <c r="AI188" s="2"/>
      <c r="AJ188" s="2"/>
      <c r="AK188" s="2"/>
      <c r="AL188" s="2"/>
      <c r="AM188" s="3"/>
      <c r="AN188" s="5"/>
      <c r="AO188" s="6"/>
      <c r="AP188" s="7"/>
      <c r="AQ188" s="3"/>
      <c r="AR188" s="5"/>
      <c r="AS188" s="6"/>
      <c r="AT188" s="7"/>
      <c r="AU188" s="3"/>
      <c r="AV188" s="5"/>
      <c r="AW188" s="6"/>
      <c r="AX188" s="7"/>
      <c r="AY188" s="2"/>
      <c r="AZ188" s="2"/>
      <c r="BA188" s="2"/>
      <c r="BB188" s="2"/>
      <c r="BC188" s="3"/>
      <c r="BD188" s="5"/>
      <c r="BE188" s="6"/>
      <c r="BF188" s="7"/>
      <c r="BG188" s="3"/>
      <c r="BH188" s="5"/>
      <c r="BI188" s="6"/>
      <c r="BJ188" s="7"/>
      <c r="BK188" s="3"/>
      <c r="BL188" s="5"/>
      <c r="BM188" s="6"/>
      <c r="BN188" s="7"/>
      <c r="BO188" s="2"/>
      <c r="BP188" s="2"/>
      <c r="BQ188" s="2"/>
      <c r="BR188" s="2"/>
    </row>
    <row r="189" spans="2:70" ht="18.75" customHeight="1" x14ac:dyDescent="0.25">
      <c r="B189" s="8" t="s">
        <v>646</v>
      </c>
      <c r="C189" s="3" t="s">
        <v>647</v>
      </c>
      <c r="D189" s="3" t="s">
        <v>648</v>
      </c>
      <c r="E189" s="5" t="s">
        <v>645</v>
      </c>
      <c r="F189" s="5" t="s">
        <v>502</v>
      </c>
      <c r="G189" s="6" t="str">
        <f ca="1">IFERROR(__xludf.DUMMYFUNCTION("GOOGLETRANSLATE(B189,""ja"",""ko"")"),"블루 노리 부드러운 쇠고기 치라시 장어")</f>
        <v>블루 노리 부드러운 쇠고기 치라시 장어</v>
      </c>
      <c r="H189" s="6"/>
      <c r="I189" s="7" t="str">
        <f ca="1">IFERROR(__xludf.DUMMYFUNCTION("GOOGLETRANSLATE(B189,""ja"",""zh"")"),"青海苔、嫩牛肉、散鳗")</f>
        <v>青海苔、嫩牛肉、散鳗</v>
      </c>
      <c r="J189" s="7"/>
      <c r="K189" s="3" t="s">
        <v>647</v>
      </c>
      <c r="L189" s="3" t="s">
        <v>648</v>
      </c>
      <c r="M189" s="5" t="s">
        <v>645</v>
      </c>
      <c r="N189" s="5" t="s">
        <v>502</v>
      </c>
      <c r="O189" s="6" t="str">
        <f ca="1">IFERROR(__xludf.DUMMYFUNCTION("GOOGLETRANSLATE(B189,""ja"",""ko"")"),"블루 노리 부드러운 쇠고기 치라시 장어")</f>
        <v>블루 노리 부드러운 쇠고기 치라시 장어</v>
      </c>
      <c r="P189" s="6"/>
      <c r="Q189" s="7" t="str">
        <f ca="1">IFERROR(__xludf.DUMMYFUNCTION("GOOGLETRANSLATE(B189,""ja"",""zh"")"),"青海苔、嫩牛肉、散鳗")</f>
        <v>青海苔、嫩牛肉、散鳗</v>
      </c>
      <c r="R189" s="7"/>
      <c r="S189" s="3" t="s">
        <v>647</v>
      </c>
      <c r="T189" s="5" t="str">
        <f ca="1">IFERROR(__xludf.DUMMYFUNCTION("GOOGLETRANSLATE(S189,""ja"",""en"")"),"Aonori tender beef")</f>
        <v>Aonori tender beef</v>
      </c>
      <c r="U189" s="6" t="str">
        <f ca="1">IFERROR(__xludf.DUMMYFUNCTION("GOOGLETRANSLATE(S189,""ja"",""ko"")"),"블루 노리 부드러운 쇠고기")</f>
        <v>블루 노리 부드러운 쇠고기</v>
      </c>
      <c r="V189" s="7" t="str">
        <f ca="1">IFERROR(__xludf.DUMMYFUNCTION("GOOGLETRANSLATE(S189,""ja"",""zh"")"),"青海嫩牛肉")</f>
        <v>青海嫩牛肉</v>
      </c>
      <c r="W189" s="3"/>
      <c r="X189" s="5"/>
      <c r="Y189" s="6"/>
      <c r="Z189" s="7"/>
      <c r="AA189" s="3"/>
      <c r="AB189" s="5"/>
      <c r="AC189" s="6"/>
      <c r="AD189" s="7"/>
      <c r="AE189" s="3"/>
      <c r="AF189" s="5"/>
      <c r="AG189" s="6"/>
      <c r="AH189" s="7"/>
      <c r="AI189" s="2"/>
      <c r="AJ189" s="2"/>
      <c r="AK189" s="2"/>
      <c r="AL189" s="2"/>
      <c r="AM189" s="3"/>
      <c r="AN189" s="5"/>
      <c r="AO189" s="6"/>
      <c r="AP189" s="7"/>
      <c r="AQ189" s="3"/>
      <c r="AR189" s="5"/>
      <c r="AS189" s="6"/>
      <c r="AT189" s="7"/>
      <c r="AU189" s="3"/>
      <c r="AV189" s="5"/>
      <c r="AW189" s="6"/>
      <c r="AX189" s="7"/>
      <c r="AY189" s="2"/>
      <c r="AZ189" s="2"/>
      <c r="BA189" s="2"/>
      <c r="BB189" s="2"/>
      <c r="BC189" s="3"/>
      <c r="BD189" s="5"/>
      <c r="BE189" s="6"/>
      <c r="BF189" s="7"/>
      <c r="BG189" s="3"/>
      <c r="BH189" s="5"/>
      <c r="BI189" s="6"/>
      <c r="BJ189" s="7"/>
      <c r="BK189" s="3"/>
      <c r="BL189" s="5"/>
      <c r="BM189" s="6"/>
      <c r="BN189" s="7"/>
      <c r="BO189" s="2"/>
      <c r="BP189" s="2"/>
      <c r="BQ189" s="2"/>
      <c r="BR189" s="2"/>
    </row>
    <row r="190" spans="2:70" ht="18.75" customHeight="1" x14ac:dyDescent="0.25">
      <c r="B190" s="8" t="s">
        <v>649</v>
      </c>
      <c r="C190" s="3" t="s">
        <v>650</v>
      </c>
      <c r="D190" s="3" t="s">
        <v>651</v>
      </c>
      <c r="E190" s="5" t="s">
        <v>652</v>
      </c>
      <c r="F190" s="5" t="s">
        <v>565</v>
      </c>
      <c r="G190" s="6" t="str">
        <f ca="1">IFERROR(__xludf.DUMMYFUNCTION("GOOGLETRANSLATE(B190,""ja"",""ko"")"),"고쿠타 토로로 고구마 치라시 장어")</f>
        <v>고쿠타 토로로 고구마 치라시 장어</v>
      </c>
      <c r="H190" s="6"/>
      <c r="I190" s="7" t="str">
        <f ca="1">IFERROR(__xludf.DUMMYFUNCTION("GOOGLETRANSLATE(B190,""ja"",""zh"")"),"特粗山药、散鳗")</f>
        <v>特粗山药、散鳗</v>
      </c>
      <c r="J190" s="7"/>
      <c r="K190" s="3" t="s">
        <v>650</v>
      </c>
      <c r="L190" s="3" t="s">
        <v>651</v>
      </c>
      <c r="M190" s="5" t="s">
        <v>652</v>
      </c>
      <c r="N190" s="5" t="s">
        <v>565</v>
      </c>
      <c r="O190" s="6" t="str">
        <f ca="1">IFERROR(__xludf.DUMMYFUNCTION("GOOGLETRANSLATE(B190,""ja"",""ko"")"),"고쿠타 토로로 고구마 치라시 장어")</f>
        <v>고쿠타 토로로 고구마 치라시 장어</v>
      </c>
      <c r="P190" s="6"/>
      <c r="Q190" s="7" t="str">
        <f ca="1">IFERROR(__xludf.DUMMYFUNCTION("GOOGLETRANSLATE(B190,""ja"",""zh"")"),"特粗山药、散鳗")</f>
        <v>特粗山药、散鳗</v>
      </c>
      <c r="R190" s="7"/>
      <c r="S190" s="3" t="s">
        <v>653</v>
      </c>
      <c r="T190" s="5" t="str">
        <f ca="1">IFERROR(__xludf.DUMMYFUNCTION("GOOGLETRANSLATE(S190,""ja"",""en"")"),"Very thick yam chira")</f>
        <v>Very thick yam chira</v>
      </c>
      <c r="U190" s="6" t="str">
        <f ca="1">IFERROR(__xludf.DUMMYFUNCTION("GOOGLETRANSLATE(S190,""ja"",""ko"")"),"고쿠타 토로로 고구마 치라")</f>
        <v>고쿠타 토로로 고구마 치라</v>
      </c>
      <c r="V190" s="7" t="str">
        <f ca="1">IFERROR(__xludf.DUMMYFUNCTION("GOOGLETRANSLATE(S190,""ja"",""zh"")"),"很厚的山药奇拉")</f>
        <v>很厚的山药奇拉</v>
      </c>
      <c r="W190" s="3"/>
      <c r="X190" s="5"/>
      <c r="Y190" s="6"/>
      <c r="Z190" s="7"/>
      <c r="AA190" s="3"/>
      <c r="AB190" s="5"/>
      <c r="AC190" s="6"/>
      <c r="AD190" s="7"/>
      <c r="AE190" s="3"/>
      <c r="AF190" s="5"/>
      <c r="AG190" s="6"/>
      <c r="AH190" s="7"/>
      <c r="AI190" s="2"/>
      <c r="AJ190" s="2"/>
      <c r="AK190" s="2"/>
      <c r="AL190" s="2"/>
      <c r="AM190" s="3"/>
      <c r="AN190" s="5"/>
      <c r="AO190" s="6"/>
      <c r="AP190" s="7"/>
      <c r="AQ190" s="3"/>
      <c r="AR190" s="5"/>
      <c r="AS190" s="6"/>
      <c r="AT190" s="7"/>
      <c r="AU190" s="3"/>
      <c r="AV190" s="5"/>
      <c r="AW190" s="6"/>
      <c r="AX190" s="7"/>
      <c r="AY190" s="2"/>
      <c r="AZ190" s="2"/>
      <c r="BA190" s="2"/>
      <c r="BB190" s="2"/>
      <c r="BC190" s="3"/>
      <c r="BD190" s="5"/>
      <c r="BE190" s="6"/>
      <c r="BF190" s="7"/>
      <c r="BG190" s="3"/>
      <c r="BH190" s="5"/>
      <c r="BI190" s="6"/>
      <c r="BJ190" s="7"/>
      <c r="BK190" s="3"/>
      <c r="BL190" s="5"/>
      <c r="BM190" s="6"/>
      <c r="BN190" s="7"/>
      <c r="BO190" s="2"/>
      <c r="BP190" s="2"/>
      <c r="BQ190" s="2"/>
      <c r="BR190" s="2"/>
    </row>
    <row r="191" spans="2:70" ht="18.75" customHeight="1" x14ac:dyDescent="0.25">
      <c r="B191" s="8" t="s">
        <v>654</v>
      </c>
      <c r="C191" s="3" t="s">
        <v>655</v>
      </c>
      <c r="D191" s="3" t="s">
        <v>656</v>
      </c>
      <c r="E191" s="5" t="s">
        <v>652</v>
      </c>
      <c r="F191" s="5" t="s">
        <v>502</v>
      </c>
      <c r="G191" s="6" t="str">
        <f ca="1">IFERROR(__xludf.DUMMYFUNCTION("GOOGLETRANSLATE(B191,""ja"",""ko"")"),"블루 노리 토로로 고구마 치라시 장어")</f>
        <v>블루 노리 토로로 고구마 치라시 장어</v>
      </c>
      <c r="H191" s="6"/>
      <c r="I191" s="7" t="str">
        <f ca="1">IFERROR(__xludf.DUMMYFUNCTION("GOOGLETRANSLATE(B191,""ja"",""zh"")"),"绿海藻、山药、散鳗")</f>
        <v>绿海藻、山药、散鳗</v>
      </c>
      <c r="J191" s="7"/>
      <c r="K191" s="3" t="s">
        <v>655</v>
      </c>
      <c r="L191" s="3" t="s">
        <v>656</v>
      </c>
      <c r="M191" s="5" t="s">
        <v>652</v>
      </c>
      <c r="N191" s="5" t="s">
        <v>502</v>
      </c>
      <c r="O191" s="6" t="str">
        <f ca="1">IFERROR(__xludf.DUMMYFUNCTION("GOOGLETRANSLATE(B191,""ja"",""ko"")"),"블루 노리 토로로 고구마 치라시 장어")</f>
        <v>블루 노리 토로로 고구마 치라시 장어</v>
      </c>
      <c r="P191" s="6"/>
      <c r="Q191" s="7" t="str">
        <f ca="1">IFERROR(__xludf.DUMMYFUNCTION("GOOGLETRANSLATE(B191,""ja"",""zh"")"),"绿海藻、山药、散鳗")</f>
        <v>绿海藻、山药、散鳗</v>
      </c>
      <c r="R191" s="7"/>
      <c r="S191" s="3" t="s">
        <v>657</v>
      </c>
      <c r="T191" s="5" t="str">
        <f ca="1">IFERROR(__xludf.DUMMYFUNCTION("GOOGLETRANSLATE(S191,""ja"",""en"")"),"Aonori Tororo sweet potato")</f>
        <v>Aonori Tororo sweet potato</v>
      </c>
      <c r="U191" s="6" t="str">
        <f ca="1">IFERROR(__xludf.DUMMYFUNCTION("GOOGLETRANSLATE(S191,""ja"",""ko"")"),"블루 노리 토로로 고구마 치")</f>
        <v>블루 노리 토로로 고구마 치</v>
      </c>
      <c r="V191" s="7" t="str">
        <f ca="1">IFERROR(__xludf.DUMMYFUNCTION("GOOGLETRANSLATE(S191,""ja"",""zh"")"),"青典托罗罗红薯")</f>
        <v>青典托罗罗红薯</v>
      </c>
      <c r="W191" s="3"/>
      <c r="X191" s="5"/>
      <c r="Y191" s="6"/>
      <c r="Z191" s="7"/>
      <c r="AA191" s="3"/>
      <c r="AB191" s="5"/>
      <c r="AC191" s="6"/>
      <c r="AD191" s="7"/>
      <c r="AE191" s="3"/>
      <c r="AF191" s="5"/>
      <c r="AG191" s="6"/>
      <c r="AH191" s="7"/>
      <c r="AI191" s="2"/>
      <c r="AJ191" s="2"/>
      <c r="AK191" s="2"/>
      <c r="AL191" s="2"/>
      <c r="AM191" s="3"/>
      <c r="AN191" s="5"/>
      <c r="AO191" s="6"/>
      <c r="AP191" s="7"/>
      <c r="AQ191" s="3"/>
      <c r="AR191" s="5"/>
      <c r="AS191" s="6"/>
      <c r="AT191" s="7"/>
      <c r="AU191" s="3"/>
      <c r="AV191" s="5"/>
      <c r="AW191" s="6"/>
      <c r="AX191" s="7"/>
      <c r="AY191" s="2"/>
      <c r="AZ191" s="2"/>
      <c r="BA191" s="2"/>
      <c r="BB191" s="2"/>
      <c r="BC191" s="3"/>
      <c r="BD191" s="5"/>
      <c r="BE191" s="6"/>
      <c r="BF191" s="7"/>
      <c r="BG191" s="3"/>
      <c r="BH191" s="5"/>
      <c r="BI191" s="6"/>
      <c r="BJ191" s="7"/>
      <c r="BK191" s="3"/>
      <c r="BL191" s="5"/>
      <c r="BM191" s="6"/>
      <c r="BN191" s="7"/>
      <c r="BO191" s="2"/>
      <c r="BP191" s="2"/>
      <c r="BQ191" s="2"/>
      <c r="BR191" s="2"/>
    </row>
    <row r="192" spans="2:70" ht="18.75" customHeight="1" x14ac:dyDescent="0.25">
      <c r="B192" s="8" t="s">
        <v>658</v>
      </c>
      <c r="C192" s="3" t="s">
        <v>638</v>
      </c>
      <c r="D192" s="3" t="s">
        <v>659</v>
      </c>
      <c r="E192" s="5" t="s">
        <v>640</v>
      </c>
      <c r="F192" s="5" t="s">
        <v>660</v>
      </c>
      <c r="G192" s="6" t="str">
        <f ca="1">IFERROR(__xludf.DUMMYFUNCTION("GOOGLETRANSLATE(B192,""ja"",""ko"")"),"극단 치라시 장어 큰 盛り")</f>
        <v>극단 치라시 장어 큰 盛り</v>
      </c>
      <c r="H192" s="6"/>
      <c r="I192" s="7" t="str">
        <f ca="1">IFERROR(__xludf.DUMMYFUNCTION("GOOGLETRANSLATE(B192,""ja"",""zh"")"),"特厚散鳗 大份量")</f>
        <v>特厚散鳗 大份量</v>
      </c>
      <c r="J192" s="7"/>
      <c r="K192" s="3" t="s">
        <v>638</v>
      </c>
      <c r="L192" s="3" t="s">
        <v>659</v>
      </c>
      <c r="M192" s="5" t="s">
        <v>640</v>
      </c>
      <c r="N192" s="5" t="s">
        <v>660</v>
      </c>
      <c r="O192" s="6" t="str">
        <f ca="1">IFERROR(__xludf.DUMMYFUNCTION("GOOGLETRANSLATE(B192,""ja"",""ko"")"),"극단 치라시 장어 큰 盛り")</f>
        <v>극단 치라시 장어 큰 盛り</v>
      </c>
      <c r="P192" s="6"/>
      <c r="Q192" s="7" t="str">
        <f ca="1">IFERROR(__xludf.DUMMYFUNCTION("GOOGLETRANSLATE(B192,""ja"",""zh"")"),"特厚散鳗 大份量")</f>
        <v>特厚散鳗 大份量</v>
      </c>
      <c r="R192" s="7"/>
      <c r="S192" s="3" t="s">
        <v>638</v>
      </c>
      <c r="T192" s="5" t="str">
        <f ca="1">IFERROR(__xludf.DUMMYFUNCTION("GOOGLETRANSLATE(S192,""ja"",""en"")"),"Extra thick chirashi eel")</f>
        <v>Extra thick chirashi eel</v>
      </c>
      <c r="U192" s="6" t="str">
        <f ca="1">IFERROR(__xludf.DUMMYFUNCTION("GOOGLETRANSLATE(S192,""ja"",""ko"")"),"극단 치라시 장어")</f>
        <v>극단 치라시 장어</v>
      </c>
      <c r="V192" s="7" t="str">
        <f ca="1">IFERROR(__xludf.DUMMYFUNCTION("GOOGLETRANSLATE(S192,""ja"",""zh"")"),"特厚散鳗鱼")</f>
        <v>特厚散鳗鱼</v>
      </c>
      <c r="W192" s="3"/>
      <c r="X192" s="5"/>
      <c r="Y192" s="6"/>
      <c r="Z192" s="7"/>
      <c r="AA192" s="3"/>
      <c r="AB192" s="5"/>
      <c r="AC192" s="6"/>
      <c r="AD192" s="7"/>
      <c r="AE192" s="3"/>
      <c r="AF192" s="5"/>
      <c r="AG192" s="6"/>
      <c r="AH192" s="7"/>
      <c r="AI192" s="2"/>
      <c r="AJ192" s="2"/>
      <c r="AK192" s="2"/>
      <c r="AL192" s="2"/>
      <c r="AM192" s="3"/>
      <c r="AN192" s="5"/>
      <c r="AO192" s="6"/>
      <c r="AP192" s="7"/>
      <c r="AQ192" s="3"/>
      <c r="AR192" s="5"/>
      <c r="AS192" s="6"/>
      <c r="AT192" s="7"/>
      <c r="AU192" s="3"/>
      <c r="AV192" s="5"/>
      <c r="AW192" s="6"/>
      <c r="AX192" s="7"/>
      <c r="AY192" s="2"/>
      <c r="AZ192" s="2"/>
      <c r="BA192" s="2"/>
      <c r="BB192" s="2"/>
      <c r="BC192" s="3"/>
      <c r="BD192" s="5"/>
      <c r="BE192" s="6"/>
      <c r="BF192" s="7"/>
      <c r="BG192" s="3"/>
      <c r="BH192" s="5"/>
      <c r="BI192" s="6"/>
      <c r="BJ192" s="7"/>
      <c r="BK192" s="3"/>
      <c r="BL192" s="5"/>
      <c r="BM192" s="6"/>
      <c r="BN192" s="7"/>
      <c r="BO192" s="2"/>
      <c r="BP192" s="2"/>
      <c r="BQ192" s="2"/>
      <c r="BR192" s="2"/>
    </row>
    <row r="193" spans="2:70" ht="18.75" customHeight="1" x14ac:dyDescent="0.25">
      <c r="B193" s="8" t="s">
        <v>661</v>
      </c>
      <c r="C193" s="3" t="s">
        <v>641</v>
      </c>
      <c r="D193" s="3" t="s">
        <v>662</v>
      </c>
      <c r="E193" s="5" t="s">
        <v>640</v>
      </c>
      <c r="F193" s="5" t="s">
        <v>660</v>
      </c>
      <c r="G193" s="6" t="str">
        <f ca="1">IFERROR(__xludf.DUMMYFUNCTION("GOOGLETRANSLATE(B193,""ja"",""ko"")"),"푸른 노리 치라시 장어 큰 盛り")</f>
        <v>푸른 노리 치라시 장어 큰 盛り</v>
      </c>
      <c r="H193" s="6"/>
      <c r="I193" s="7" t="str">
        <f ca="1">IFERROR(__xludf.DUMMYFUNCTION("GOOGLETRANSLATE(B193,""ja"",""zh"")"),"绿海苔散鳗大份")</f>
        <v>绿海苔散鳗大份</v>
      </c>
      <c r="J193" s="7"/>
      <c r="K193" s="3" t="s">
        <v>641</v>
      </c>
      <c r="L193" s="3" t="s">
        <v>662</v>
      </c>
      <c r="M193" s="5" t="s">
        <v>640</v>
      </c>
      <c r="N193" s="5" t="s">
        <v>660</v>
      </c>
      <c r="O193" s="6" t="str">
        <f ca="1">IFERROR(__xludf.DUMMYFUNCTION("GOOGLETRANSLATE(B193,""ja"",""ko"")"),"푸른 노리 치라시 장어 큰 盛り")</f>
        <v>푸른 노리 치라시 장어 큰 盛り</v>
      </c>
      <c r="P193" s="6"/>
      <c r="Q193" s="7" t="str">
        <f ca="1">IFERROR(__xludf.DUMMYFUNCTION("GOOGLETRANSLATE(B193,""ja"",""zh"")"),"绿海苔散鳗大份")</f>
        <v>绿海苔散鳗大份</v>
      </c>
      <c r="R193" s="7"/>
      <c r="S193" s="3" t="s">
        <v>641</v>
      </c>
      <c r="T193" s="5" t="str">
        <f ca="1">IFERROR(__xludf.DUMMYFUNCTION("GOOGLETRANSLATE(S193,""ja"",""en"")"),"Aonori Chirashi Eel")</f>
        <v>Aonori Chirashi Eel</v>
      </c>
      <c r="U193" s="6" t="str">
        <f ca="1">IFERROR(__xludf.DUMMYFUNCTION("GOOGLETRANSLATE(S193,""ja"",""ko"")"),"블루 노리 치라시 장어")</f>
        <v>블루 노리 치라시 장어</v>
      </c>
      <c r="V193" s="7" t="str">
        <f ca="1">IFERROR(__xludf.DUMMYFUNCTION("GOOGLETRANSLATE(S193,""ja"",""zh"")"),"青典散鳗鱼")</f>
        <v>青典散鳗鱼</v>
      </c>
      <c r="W193" s="3"/>
      <c r="X193" s="5"/>
      <c r="Y193" s="6"/>
      <c r="Z193" s="7"/>
      <c r="AA193" s="3"/>
      <c r="AB193" s="5"/>
      <c r="AC193" s="6"/>
      <c r="AD193" s="7"/>
      <c r="AE193" s="3"/>
      <c r="AF193" s="5"/>
      <c r="AG193" s="6"/>
      <c r="AH193" s="7"/>
      <c r="AI193" s="2"/>
      <c r="AJ193" s="2"/>
      <c r="AK193" s="2"/>
      <c r="AL193" s="2"/>
      <c r="AM193" s="3"/>
      <c r="AN193" s="5"/>
      <c r="AO193" s="6"/>
      <c r="AP193" s="7"/>
      <c r="AQ193" s="3"/>
      <c r="AR193" s="5"/>
      <c r="AS193" s="6"/>
      <c r="AT193" s="7"/>
      <c r="AU193" s="3"/>
      <c r="AV193" s="5"/>
      <c r="AW193" s="6"/>
      <c r="AX193" s="7"/>
      <c r="AY193" s="2"/>
      <c r="AZ193" s="2"/>
      <c r="BA193" s="2"/>
      <c r="BB193" s="2"/>
      <c r="BC193" s="3"/>
      <c r="BD193" s="5"/>
      <c r="BE193" s="6"/>
      <c r="BF193" s="7"/>
      <c r="BG193" s="3"/>
      <c r="BH193" s="5"/>
      <c r="BI193" s="6"/>
      <c r="BJ193" s="7"/>
      <c r="BK193" s="3"/>
      <c r="BL193" s="5"/>
      <c r="BM193" s="6"/>
      <c r="BN193" s="7"/>
      <c r="BO193" s="2"/>
      <c r="BP193" s="2"/>
      <c r="BQ193" s="2"/>
      <c r="BR193" s="2"/>
    </row>
    <row r="194" spans="2:70" ht="18.75" customHeight="1" x14ac:dyDescent="0.25">
      <c r="B194" s="8" t="s">
        <v>663</v>
      </c>
      <c r="C194" s="3" t="s">
        <v>643</v>
      </c>
      <c r="D194" s="3" t="s">
        <v>664</v>
      </c>
      <c r="E194" s="5" t="s">
        <v>640</v>
      </c>
      <c r="F194" s="5" t="s">
        <v>660</v>
      </c>
      <c r="G194" s="6" t="str">
        <f ca="1">IFERROR(__xludf.DUMMYFUNCTION("GOOGLETRANSLATE(B194,""ja"",""ko"")"),"극단 부드러운 쇠고기 장어 큰 담")</f>
        <v>극단 부드러운 쇠고기 장어 큰 담</v>
      </c>
      <c r="H194" s="6"/>
      <c r="I194" s="7" t="str">
        <f ca="1">IFERROR(__xludf.DUMMYFUNCTION("GOOGLETRANSLATE(B194,""ja"",""zh"")"),"特厚、嫩牛肉、鳗鱼、大份")</f>
        <v>特厚、嫩牛肉、鳗鱼、大份</v>
      </c>
      <c r="J194" s="7"/>
      <c r="K194" s="3" t="s">
        <v>643</v>
      </c>
      <c r="L194" s="3" t="s">
        <v>664</v>
      </c>
      <c r="M194" s="5" t="s">
        <v>640</v>
      </c>
      <c r="N194" s="5" t="s">
        <v>660</v>
      </c>
      <c r="O194" s="6" t="str">
        <f ca="1">IFERROR(__xludf.DUMMYFUNCTION("GOOGLETRANSLATE(B194,""ja"",""ko"")"),"극단 부드러운 쇠고기 장어 큰 담")</f>
        <v>극단 부드러운 쇠고기 장어 큰 담</v>
      </c>
      <c r="P194" s="6"/>
      <c r="Q194" s="7" t="str">
        <f ca="1">IFERROR(__xludf.DUMMYFUNCTION("GOOGLETRANSLATE(B194,""ja"",""zh"")"),"特厚、嫩牛肉、鳗鱼、大份")</f>
        <v>特厚、嫩牛肉、鳗鱼、大份</v>
      </c>
      <c r="R194" s="7"/>
      <c r="S194" s="3" t="s">
        <v>643</v>
      </c>
      <c r="T194" s="5" t="str">
        <f ca="1">IFERROR(__xludf.DUMMYFUNCTION("GOOGLETRANSLATE(S194,""ja"",""en"")"),"Extra thick and tender beef")</f>
        <v>Extra thick and tender beef</v>
      </c>
      <c r="U194" s="6" t="str">
        <f ca="1">IFERROR(__xludf.DUMMYFUNCTION("GOOGLETRANSLATE(S194,""ja"",""ko"")"),"극단 부드러운 쇠고기")</f>
        <v>극단 부드러운 쇠고기</v>
      </c>
      <c r="V194" s="7" t="str">
        <f ca="1">IFERROR(__xludf.DUMMYFUNCTION("GOOGLETRANSLATE(S194,""ja"",""zh"")"),"牛肉又厚又嫩")</f>
        <v>牛肉又厚又嫩</v>
      </c>
      <c r="W194" s="3"/>
      <c r="X194" s="5"/>
      <c r="Y194" s="6"/>
      <c r="Z194" s="7"/>
      <c r="AA194" s="3"/>
      <c r="AB194" s="5"/>
      <c r="AC194" s="6"/>
      <c r="AD194" s="7"/>
      <c r="AE194" s="3"/>
      <c r="AF194" s="5"/>
      <c r="AG194" s="6"/>
      <c r="AH194" s="7"/>
      <c r="AI194" s="2"/>
      <c r="AJ194" s="2"/>
      <c r="AK194" s="2"/>
      <c r="AL194" s="2"/>
      <c r="AM194" s="3"/>
      <c r="AN194" s="5"/>
      <c r="AO194" s="6"/>
      <c r="AP194" s="7"/>
      <c r="AQ194" s="3"/>
      <c r="AR194" s="5"/>
      <c r="AS194" s="6"/>
      <c r="AT194" s="7"/>
      <c r="AU194" s="3"/>
      <c r="AV194" s="5"/>
      <c r="AW194" s="6"/>
      <c r="AX194" s="7"/>
      <c r="AY194" s="2"/>
      <c r="AZ194" s="2"/>
      <c r="BA194" s="2"/>
      <c r="BB194" s="2"/>
      <c r="BC194" s="3"/>
      <c r="BD194" s="5"/>
      <c r="BE194" s="6"/>
      <c r="BF194" s="7"/>
      <c r="BG194" s="3"/>
      <c r="BH194" s="5"/>
      <c r="BI194" s="6"/>
      <c r="BJ194" s="7"/>
      <c r="BK194" s="3"/>
      <c r="BL194" s="5"/>
      <c r="BM194" s="6"/>
      <c r="BN194" s="7"/>
      <c r="BO194" s="2"/>
      <c r="BP194" s="2"/>
      <c r="BQ194" s="2"/>
      <c r="BR194" s="2"/>
    </row>
    <row r="195" spans="2:70" ht="18.75" customHeight="1" x14ac:dyDescent="0.25">
      <c r="B195" s="8" t="s">
        <v>665</v>
      </c>
      <c r="C195" s="3" t="s">
        <v>647</v>
      </c>
      <c r="D195" s="3" t="s">
        <v>666</v>
      </c>
      <c r="E195" s="5" t="s">
        <v>640</v>
      </c>
      <c r="F195" s="5" t="s">
        <v>667</v>
      </c>
      <c r="G195" s="6" t="str">
        <f ca="1">IFERROR(__xludf.DUMMYFUNCTION("GOOGLETRANSLATE(B195,""ja"",""ko"")"),"푸른 노리 부드러운 쇠고기 장어 큰 듬뿍")</f>
        <v>푸른 노리 부드러운 쇠고기 장어 큰 듬뿍</v>
      </c>
      <c r="H195" s="6"/>
      <c r="I195" s="7" t="str">
        <f ca="1">IFERROR(__xludf.DUMMYFUNCTION("GOOGLETRANSLATE(B195,""ja"",""zh"")"),"青海苔、嫩牛肉、鳗鱼、大份")</f>
        <v>青海苔、嫩牛肉、鳗鱼、大份</v>
      </c>
      <c r="J195" s="7"/>
      <c r="K195" s="3" t="s">
        <v>647</v>
      </c>
      <c r="L195" s="3" t="s">
        <v>666</v>
      </c>
      <c r="M195" s="5" t="s">
        <v>640</v>
      </c>
      <c r="N195" s="5" t="s">
        <v>667</v>
      </c>
      <c r="O195" s="6" t="str">
        <f ca="1">IFERROR(__xludf.DUMMYFUNCTION("GOOGLETRANSLATE(B195,""ja"",""ko"")"),"푸른 노리 부드러운 쇠고기 장어 큰 듬뿍")</f>
        <v>푸른 노리 부드러운 쇠고기 장어 큰 듬뿍</v>
      </c>
      <c r="P195" s="6"/>
      <c r="Q195" s="7" t="str">
        <f ca="1">IFERROR(__xludf.DUMMYFUNCTION("GOOGLETRANSLATE(B195,""ja"",""zh"")"),"青海苔、嫩牛肉、鳗鱼、大份")</f>
        <v>青海苔、嫩牛肉、鳗鱼、大份</v>
      </c>
      <c r="R195" s="7"/>
      <c r="S195" s="3" t="s">
        <v>647</v>
      </c>
      <c r="T195" s="5" t="str">
        <f ca="1">IFERROR(__xludf.DUMMYFUNCTION("GOOGLETRANSLATE(S195,""ja"",""en"")"),"Aonori tender beef")</f>
        <v>Aonori tender beef</v>
      </c>
      <c r="U195" s="6" t="str">
        <f ca="1">IFERROR(__xludf.DUMMYFUNCTION("GOOGLETRANSLATE(S195,""ja"",""ko"")"),"블루 노리 부드러운 쇠고기")</f>
        <v>블루 노리 부드러운 쇠고기</v>
      </c>
      <c r="V195" s="7" t="str">
        <f ca="1">IFERROR(__xludf.DUMMYFUNCTION("GOOGLETRANSLATE(S195,""ja"",""zh"")"),"青海嫩牛肉")</f>
        <v>青海嫩牛肉</v>
      </c>
      <c r="W195" s="3"/>
      <c r="X195" s="5"/>
      <c r="Y195" s="6"/>
      <c r="Z195" s="7"/>
      <c r="AA195" s="3"/>
      <c r="AB195" s="5"/>
      <c r="AC195" s="6"/>
      <c r="AD195" s="7"/>
      <c r="AE195" s="3"/>
      <c r="AF195" s="5"/>
      <c r="AG195" s="6"/>
      <c r="AH195" s="7"/>
      <c r="AI195" s="2"/>
      <c r="AJ195" s="2"/>
      <c r="AK195" s="2"/>
      <c r="AL195" s="2"/>
      <c r="AM195" s="3"/>
      <c r="AN195" s="5"/>
      <c r="AO195" s="6"/>
      <c r="AP195" s="7"/>
      <c r="AQ195" s="3"/>
      <c r="AR195" s="5"/>
      <c r="AS195" s="6"/>
      <c r="AT195" s="7"/>
      <c r="AU195" s="3"/>
      <c r="AV195" s="5"/>
      <c r="AW195" s="6"/>
      <c r="AX195" s="7"/>
      <c r="AY195" s="2"/>
      <c r="AZ195" s="2"/>
      <c r="BA195" s="2"/>
      <c r="BB195" s="2"/>
      <c r="BC195" s="3"/>
      <c r="BD195" s="5"/>
      <c r="BE195" s="6"/>
      <c r="BF195" s="7"/>
      <c r="BG195" s="3"/>
      <c r="BH195" s="5"/>
      <c r="BI195" s="6"/>
      <c r="BJ195" s="7"/>
      <c r="BK195" s="3"/>
      <c r="BL195" s="5"/>
      <c r="BM195" s="6"/>
      <c r="BN195" s="7"/>
      <c r="BO195" s="2"/>
      <c r="BP195" s="2"/>
      <c r="BQ195" s="2"/>
      <c r="BR195" s="2"/>
    </row>
    <row r="196" spans="2:70" ht="18.75" customHeight="1" x14ac:dyDescent="0.25">
      <c r="B196" s="8" t="s">
        <v>668</v>
      </c>
      <c r="C196" s="3" t="s">
        <v>669</v>
      </c>
      <c r="D196" s="3" t="s">
        <v>664</v>
      </c>
      <c r="E196" s="5" t="s">
        <v>652</v>
      </c>
      <c r="F196" s="5" t="s">
        <v>667</v>
      </c>
      <c r="G196" s="6" t="str">
        <f ca="1">IFERROR(__xludf.DUMMYFUNCTION("GOOGLETRANSLATE(B196,""ja"",""ko"")"),"고쿠타 토로로 고구마 치라시 장어")</f>
        <v>고쿠타 토로로 고구마 치라시 장어</v>
      </c>
      <c r="H196" s="6"/>
      <c r="I196" s="7" t="str">
        <f ca="1">IFERROR(__xludf.DUMMYFUNCTION("GOOGLETRANSLATE(B196,""ja"",""zh"")"),"特粗山药，散鳗，大份")</f>
        <v>特粗山药，散鳗，大份</v>
      </c>
      <c r="J196" s="7"/>
      <c r="K196" s="3" t="s">
        <v>669</v>
      </c>
      <c r="L196" s="3" t="s">
        <v>664</v>
      </c>
      <c r="M196" s="5" t="s">
        <v>652</v>
      </c>
      <c r="N196" s="5" t="s">
        <v>667</v>
      </c>
      <c r="O196" s="6" t="str">
        <f ca="1">IFERROR(__xludf.DUMMYFUNCTION("GOOGLETRANSLATE(B196,""ja"",""ko"")"),"고쿠타 토로로 고구마 치라시 장어")</f>
        <v>고쿠타 토로로 고구마 치라시 장어</v>
      </c>
      <c r="P196" s="6"/>
      <c r="Q196" s="7" t="str">
        <f ca="1">IFERROR(__xludf.DUMMYFUNCTION("GOOGLETRANSLATE(B196,""ja"",""zh"")"),"特粗山药，散鳗，大份")</f>
        <v>特粗山药，散鳗，大份</v>
      </c>
      <c r="R196" s="7"/>
      <c r="S196" s="3" t="s">
        <v>669</v>
      </c>
      <c r="T196" s="5" t="str">
        <f ca="1">IFERROR(__xludf.DUMMYFUNCTION("GOOGLETRANSLATE(S196,""ja"",""en"")"),"Extra thick yam chirashi")</f>
        <v>Extra thick yam chirashi</v>
      </c>
      <c r="U196" s="6" t="str">
        <f ca="1">IFERROR(__xludf.DUMMYFUNCTION("GOOGLETRANSLATE(S196,""ja"",""ko"")"),"극단 토로로 고구마 치라시")</f>
        <v>극단 토로로 고구마 치라시</v>
      </c>
      <c r="V196" s="7" t="str">
        <f ca="1">IFERROR(__xludf.DUMMYFUNCTION("GOOGLETRANSLATE(S196,""ja"",""zh"")"),"特厚山药散装")</f>
        <v>特厚山药散装</v>
      </c>
      <c r="W196" s="3"/>
      <c r="X196" s="5"/>
      <c r="Y196" s="6"/>
      <c r="Z196" s="7"/>
      <c r="AA196" s="3"/>
      <c r="AB196" s="5"/>
      <c r="AC196" s="6"/>
      <c r="AD196" s="7"/>
      <c r="AE196" s="3"/>
      <c r="AF196" s="5"/>
      <c r="AG196" s="6"/>
      <c r="AH196" s="7"/>
      <c r="AI196" s="2"/>
      <c r="AJ196" s="2"/>
      <c r="AK196" s="2"/>
      <c r="AL196" s="2"/>
      <c r="AM196" s="3"/>
      <c r="AN196" s="5"/>
      <c r="AO196" s="6"/>
      <c r="AP196" s="7"/>
      <c r="AQ196" s="3"/>
      <c r="AR196" s="5"/>
      <c r="AS196" s="6"/>
      <c r="AT196" s="7"/>
      <c r="AU196" s="3"/>
      <c r="AV196" s="5"/>
      <c r="AW196" s="6"/>
      <c r="AX196" s="7"/>
      <c r="AY196" s="2"/>
      <c r="AZ196" s="2"/>
      <c r="BA196" s="2"/>
      <c r="BB196" s="2"/>
      <c r="BC196" s="3"/>
      <c r="BD196" s="5"/>
      <c r="BE196" s="6"/>
      <c r="BF196" s="7"/>
      <c r="BG196" s="3"/>
      <c r="BH196" s="5"/>
      <c r="BI196" s="6"/>
      <c r="BJ196" s="7"/>
      <c r="BK196" s="3"/>
      <c r="BL196" s="5"/>
      <c r="BM196" s="6"/>
      <c r="BN196" s="7"/>
      <c r="BO196" s="2"/>
      <c r="BP196" s="2"/>
      <c r="BQ196" s="2"/>
      <c r="BR196" s="2"/>
    </row>
    <row r="197" spans="2:70" ht="18.75" customHeight="1" x14ac:dyDescent="0.25">
      <c r="B197" s="8" t="s">
        <v>670</v>
      </c>
      <c r="C197" s="3" t="s">
        <v>671</v>
      </c>
      <c r="D197" s="3" t="s">
        <v>672</v>
      </c>
      <c r="E197" s="5" t="s">
        <v>652</v>
      </c>
      <c r="F197" s="5" t="s">
        <v>667</v>
      </c>
      <c r="G197" s="6" t="str">
        <f ca="1">IFERROR(__xludf.DUMMYFUNCTION("GOOGLETRANSLATE(B197,""ja"",""ko"")"),"푸른 노리 토로로 고구마 치라시 장어 큰 盛り")</f>
        <v>푸른 노리 토로로 고구마 치라시 장어 큰 盛り</v>
      </c>
      <c r="H197" s="6"/>
      <c r="I197" s="7" t="str">
        <f ca="1">IFERROR(__xludf.DUMMYFUNCTION("GOOGLETRANSLATE(B197,""ja"",""zh"")"),"青海带、山药、散鳗鱼、大份")</f>
        <v>青海带、山药、散鳗鱼、大份</v>
      </c>
      <c r="J197" s="7"/>
      <c r="K197" s="3" t="s">
        <v>671</v>
      </c>
      <c r="L197" s="3" t="s">
        <v>672</v>
      </c>
      <c r="M197" s="5" t="s">
        <v>652</v>
      </c>
      <c r="N197" s="5" t="s">
        <v>667</v>
      </c>
      <c r="O197" s="6" t="str">
        <f ca="1">IFERROR(__xludf.DUMMYFUNCTION("GOOGLETRANSLATE(B197,""ja"",""ko"")"),"푸른 노리 토로로 고구마 치라시 장어 큰 盛り")</f>
        <v>푸른 노리 토로로 고구마 치라시 장어 큰 盛り</v>
      </c>
      <c r="P197" s="6"/>
      <c r="Q197" s="7" t="str">
        <f ca="1">IFERROR(__xludf.DUMMYFUNCTION("GOOGLETRANSLATE(B197,""ja"",""zh"")"),"青海带、山药、散鳗鱼、大份")</f>
        <v>青海带、山药、散鳗鱼、大份</v>
      </c>
      <c r="R197" s="7"/>
      <c r="S197" s="3" t="s">
        <v>671</v>
      </c>
      <c r="T197" s="5" t="str">
        <f ca="1">IFERROR(__xludf.DUMMYFUNCTION("GOOGLETRANSLATE(S197,""ja"",""en"")"),"Green seaweed, grated sweet potato chira")</f>
        <v>Green seaweed, grated sweet potato chira</v>
      </c>
      <c r="U197" s="6" t="str">
        <f ca="1">IFERROR(__xludf.DUMMYFUNCTION("GOOGLETRANSLATE(S197,""ja"",""ko"")"),"블루 노리 토로로 고구마 치라")</f>
        <v>블루 노리 토로로 고구마 치라</v>
      </c>
      <c r="V197" s="7" t="str">
        <f ca="1">IFERROR(__xludf.DUMMYFUNCTION("GOOGLETRANSLATE(S197,""ja"",""zh"")"),"绿海藻，磨碎的红薯chira")</f>
        <v>绿海藻，磨碎的红薯chira</v>
      </c>
      <c r="W197" s="3"/>
      <c r="X197" s="5"/>
      <c r="Y197" s="6"/>
      <c r="Z197" s="7"/>
      <c r="AA197" s="3"/>
      <c r="AB197" s="5"/>
      <c r="AC197" s="6"/>
      <c r="AD197" s="7"/>
      <c r="AE197" s="3"/>
      <c r="AF197" s="5"/>
      <c r="AG197" s="6"/>
      <c r="AH197" s="7"/>
      <c r="AI197" s="2"/>
      <c r="AJ197" s="2"/>
      <c r="AK197" s="2"/>
      <c r="AL197" s="2"/>
      <c r="AM197" s="3"/>
      <c r="AN197" s="5"/>
      <c r="AO197" s="6"/>
      <c r="AP197" s="7"/>
      <c r="AQ197" s="3"/>
      <c r="AR197" s="5"/>
      <c r="AS197" s="6"/>
      <c r="AT197" s="7"/>
      <c r="AU197" s="3"/>
      <c r="AV197" s="5"/>
      <c r="AW197" s="6"/>
      <c r="AX197" s="7"/>
      <c r="AY197" s="2"/>
      <c r="AZ197" s="2"/>
      <c r="BA197" s="2"/>
      <c r="BB197" s="2"/>
      <c r="BC197" s="3"/>
      <c r="BD197" s="5"/>
      <c r="BE197" s="6"/>
      <c r="BF197" s="7"/>
      <c r="BG197" s="3"/>
      <c r="BH197" s="5"/>
      <c r="BI197" s="6"/>
      <c r="BJ197" s="7"/>
      <c r="BK197" s="3"/>
      <c r="BL197" s="5"/>
      <c r="BM197" s="6"/>
      <c r="BN197" s="7"/>
      <c r="BO197" s="2"/>
      <c r="BP197" s="2"/>
      <c r="BQ197" s="2"/>
      <c r="BR197" s="2"/>
    </row>
    <row r="198" spans="2:70" ht="18.75" customHeight="1" x14ac:dyDescent="0.25">
      <c r="B198" s="8" t="s">
        <v>673</v>
      </c>
      <c r="C198" s="3" t="s">
        <v>673</v>
      </c>
      <c r="D198" s="3"/>
      <c r="E198" s="5" t="s">
        <v>674</v>
      </c>
      <c r="F198" s="5"/>
      <c r="G198" s="6" t="str">
        <f ca="1">IFERROR(__xludf.DUMMYFUNCTION("GOOGLETRANSLATE(B198,""ja"",""ko"")"),"미니 치라시 우나 덮밥")</f>
        <v>미니 치라시 우나 덮밥</v>
      </c>
      <c r="H198" s="6"/>
      <c r="I198" s="7" t="str">
        <f ca="1">IFERROR(__xludf.DUMMYFUNCTION("GOOGLETRANSLATE(B198,""ja"",""zh"")"),"迷你散鳗鱼碗")</f>
        <v>迷你散鳗鱼碗</v>
      </c>
      <c r="J198" s="7"/>
      <c r="K198" s="3" t="s">
        <v>673</v>
      </c>
      <c r="L198" s="3"/>
      <c r="M198" s="5" t="s">
        <v>674</v>
      </c>
      <c r="N198" s="5"/>
      <c r="O198" s="6" t="str">
        <f ca="1">IFERROR(__xludf.DUMMYFUNCTION("GOOGLETRANSLATE(B198,""ja"",""ko"")"),"미니 치라시 우나 덮밥")</f>
        <v>미니 치라시 우나 덮밥</v>
      </c>
      <c r="P198" s="6"/>
      <c r="Q198" s="7" t="str">
        <f ca="1">IFERROR(__xludf.DUMMYFUNCTION("GOOGLETRANSLATE(B198,""ja"",""zh"")"),"迷你散鳗鱼碗")</f>
        <v>迷你散鳗鱼碗</v>
      </c>
      <c r="R198" s="7"/>
      <c r="S198" s="3" t="s">
        <v>673</v>
      </c>
      <c r="T198" s="5" t="str">
        <f ca="1">IFERROR(__xludf.DUMMYFUNCTION("GOOGLETRANSLATE(S198,""ja"",""en"")"),"Mini chirashi eel bowl")</f>
        <v>Mini chirashi eel bowl</v>
      </c>
      <c r="U198" s="6" t="str">
        <f ca="1">IFERROR(__xludf.DUMMYFUNCTION("GOOGLETRANSLATE(S198,""ja"",""ko"")"),"미니 치라시 우나 덮밥")</f>
        <v>미니 치라시 우나 덮밥</v>
      </c>
      <c r="V198" s="7" t="str">
        <f ca="1">IFERROR(__xludf.DUMMYFUNCTION("GOOGLETRANSLATE(S198,""ja"",""zh"")"),"迷你散鳗鱼碗")</f>
        <v>迷你散鳗鱼碗</v>
      </c>
      <c r="W198" s="3"/>
      <c r="X198" s="5"/>
      <c r="Y198" s="6"/>
      <c r="Z198" s="7"/>
      <c r="AA198" s="3"/>
      <c r="AB198" s="5"/>
      <c r="AC198" s="6"/>
      <c r="AD198" s="7"/>
      <c r="AE198" s="3"/>
      <c r="AF198" s="5"/>
      <c r="AG198" s="6"/>
      <c r="AH198" s="7"/>
      <c r="AI198" s="2"/>
      <c r="AJ198" s="2"/>
      <c r="AK198" s="2"/>
      <c r="AL198" s="2"/>
      <c r="AM198" s="3"/>
      <c r="AN198" s="5"/>
      <c r="AO198" s="6"/>
      <c r="AP198" s="7"/>
      <c r="AQ198" s="3"/>
      <c r="AR198" s="5"/>
      <c r="AS198" s="6"/>
      <c r="AT198" s="7"/>
      <c r="AU198" s="3"/>
      <c r="AV198" s="5"/>
      <c r="AW198" s="6"/>
      <c r="AX198" s="7"/>
      <c r="AY198" s="2"/>
      <c r="AZ198" s="2"/>
      <c r="BA198" s="2"/>
      <c r="BB198" s="2"/>
      <c r="BC198" s="3"/>
      <c r="BD198" s="5"/>
      <c r="BE198" s="6"/>
      <c r="BF198" s="7"/>
      <c r="BG198" s="3"/>
      <c r="BH198" s="5"/>
      <c r="BI198" s="6"/>
      <c r="BJ198" s="7"/>
      <c r="BK198" s="3"/>
      <c r="BL198" s="5"/>
      <c r="BM198" s="6"/>
      <c r="BN198" s="7"/>
      <c r="BO198" s="2"/>
      <c r="BP198" s="2"/>
      <c r="BQ198" s="2"/>
      <c r="BR198" s="2"/>
    </row>
    <row r="199" spans="2:70" ht="18.75" customHeight="1" x14ac:dyDescent="0.25">
      <c r="B199" s="8" t="s">
        <v>675</v>
      </c>
      <c r="C199" s="3" t="s">
        <v>675</v>
      </c>
      <c r="D199" s="3"/>
      <c r="E199" s="5" t="s">
        <v>674</v>
      </c>
      <c r="F199" s="5"/>
      <c r="G199" s="6" t="str">
        <f ca="1">IFERROR(__xludf.DUMMYFUNCTION("GOOGLETRANSLATE(B199,""ja"",""ko"")"),"미니 치라시 우나 덮밥")</f>
        <v>미니 치라시 우나 덮밥</v>
      </c>
      <c r="H199" s="6"/>
      <c r="I199" s="7" t="str">
        <f ca="1">IFERROR(__xludf.DUMMYFUNCTION("GOOGLETRANSLATE(B199,""ja"",""zh"")"),"迷你散寿司碗")</f>
        <v>迷你散寿司碗</v>
      </c>
      <c r="J199" s="7"/>
      <c r="K199" s="3" t="s">
        <v>675</v>
      </c>
      <c r="L199" s="3"/>
      <c r="M199" s="5" t="s">
        <v>674</v>
      </c>
      <c r="N199" s="5"/>
      <c r="O199" s="6" t="str">
        <f ca="1">IFERROR(__xludf.DUMMYFUNCTION("GOOGLETRANSLATE(B199,""ja"",""ko"")"),"미니 치라시 우나 덮밥")</f>
        <v>미니 치라시 우나 덮밥</v>
      </c>
      <c r="P199" s="6"/>
      <c r="Q199" s="7" t="str">
        <f ca="1">IFERROR(__xludf.DUMMYFUNCTION("GOOGLETRANSLATE(B199,""ja"",""zh"")"),"迷你散寿司碗")</f>
        <v>迷你散寿司碗</v>
      </c>
      <c r="R199" s="7"/>
      <c r="S199" s="3" t="s">
        <v>675</v>
      </c>
      <c r="T199" s="5" t="str">
        <f ca="1">IFERROR(__xludf.DUMMYFUNCTION("GOOGLETRANSLATE(S199,""ja"",""en"")"),"Mini chirashi una bowl")</f>
        <v>Mini chirashi una bowl</v>
      </c>
      <c r="U199" s="6" t="str">
        <f ca="1">IFERROR(__xludf.DUMMYFUNCTION("GOOGLETRANSLATE(S199,""ja"",""ko"")"),"미니 치라시 우나 덮밥")</f>
        <v>미니 치라시 우나 덮밥</v>
      </c>
      <c r="V199" s="7" t="str">
        <f ca="1">IFERROR(__xludf.DUMMYFUNCTION("GOOGLETRANSLATE(S199,""ja"",""zh"")"),"迷你散寿司碗")</f>
        <v>迷你散寿司碗</v>
      </c>
      <c r="W199" s="3"/>
      <c r="X199" s="5"/>
      <c r="Y199" s="6"/>
      <c r="Z199" s="7"/>
      <c r="AA199" s="3"/>
      <c r="AB199" s="5"/>
      <c r="AC199" s="6"/>
      <c r="AD199" s="7"/>
      <c r="AE199" s="3"/>
      <c r="AF199" s="5"/>
      <c r="AG199" s="6"/>
      <c r="AH199" s="7"/>
      <c r="AI199" s="2"/>
      <c r="AJ199" s="2"/>
      <c r="AK199" s="2"/>
      <c r="AL199" s="2"/>
      <c r="AM199" s="3"/>
      <c r="AN199" s="5"/>
      <c r="AO199" s="6"/>
      <c r="AP199" s="7"/>
      <c r="AQ199" s="3"/>
      <c r="AR199" s="5"/>
      <c r="AS199" s="6"/>
      <c r="AT199" s="7"/>
      <c r="AU199" s="3"/>
      <c r="AV199" s="5"/>
      <c r="AW199" s="6"/>
      <c r="AX199" s="7"/>
      <c r="AY199" s="2"/>
      <c r="AZ199" s="2"/>
      <c r="BA199" s="2"/>
      <c r="BB199" s="2"/>
      <c r="BC199" s="3"/>
      <c r="BD199" s="5"/>
      <c r="BE199" s="6"/>
      <c r="BF199" s="7"/>
      <c r="BG199" s="3"/>
      <c r="BH199" s="5"/>
      <c r="BI199" s="6"/>
      <c r="BJ199" s="7"/>
      <c r="BK199" s="3"/>
      <c r="BL199" s="5"/>
      <c r="BM199" s="6"/>
      <c r="BN199" s="7"/>
      <c r="BO199" s="2"/>
      <c r="BP199" s="2"/>
      <c r="BQ199" s="2"/>
      <c r="BR199" s="2"/>
    </row>
    <row r="200" spans="2:70" ht="18.75" customHeight="1" x14ac:dyDescent="0.25">
      <c r="B200" s="8" t="s">
        <v>676</v>
      </c>
      <c r="C200" s="3" t="s">
        <v>676</v>
      </c>
      <c r="D200" s="3"/>
      <c r="E200" s="5" t="s">
        <v>677</v>
      </c>
      <c r="F200" s="5"/>
      <c r="G200" s="6" t="str">
        <f ca="1">IFERROR(__xludf.DUMMYFUNCTION("GOOGLETRANSLATE(B200,""ja"",""ko"")"),"아스파라 베이컨 하늘")</f>
        <v>아스파라 베이컨 하늘</v>
      </c>
      <c r="H200" s="6"/>
      <c r="I200" s="7" t="str">
        <f ca="1">IFERROR(__xludf.DUMMYFUNCTION("GOOGLETRANSLATE(B200,""ja"",""zh"")"),"芦笋培根天妇罗")</f>
        <v>芦笋培根天妇罗</v>
      </c>
      <c r="J200" s="7"/>
      <c r="K200" s="3" t="s">
        <v>676</v>
      </c>
      <c r="L200" s="3"/>
      <c r="M200" s="5" t="s">
        <v>677</v>
      </c>
      <c r="N200" s="5"/>
      <c r="O200" s="6" t="str">
        <f ca="1">IFERROR(__xludf.DUMMYFUNCTION("GOOGLETRANSLATE(B200,""ja"",""ko"")"),"아스파라 베이컨 하늘")</f>
        <v>아스파라 베이컨 하늘</v>
      </c>
      <c r="P200" s="6"/>
      <c r="Q200" s="7" t="str">
        <f ca="1">IFERROR(__xludf.DUMMYFUNCTION("GOOGLETRANSLATE(B200,""ja"",""zh"")"),"芦笋培根天妇罗")</f>
        <v>芦笋培根天妇罗</v>
      </c>
      <c r="R200" s="7"/>
      <c r="S200" s="3" t="s">
        <v>676</v>
      </c>
      <c r="T200" s="5" t="str">
        <f ca="1">IFERROR(__xludf.DUMMYFUNCTION("GOOGLETRANSLATE(S200,""ja"",""en"")"),"Asparagus bacon tempura")</f>
        <v>Asparagus bacon tempura</v>
      </c>
      <c r="U200" s="6" t="str">
        <f ca="1">IFERROR(__xludf.DUMMYFUNCTION("GOOGLETRANSLATE(S200,""ja"",""ko"")"),"아스파라 베이컨 하늘")</f>
        <v>아스파라 베이컨 하늘</v>
      </c>
      <c r="V200" s="7" t="str">
        <f ca="1">IFERROR(__xludf.DUMMYFUNCTION("GOOGLETRANSLATE(S200,""ja"",""zh"")"),"芦笋培根天妇罗")</f>
        <v>芦笋培根天妇罗</v>
      </c>
      <c r="W200" s="3"/>
      <c r="X200" s="5"/>
      <c r="Y200" s="6"/>
      <c r="Z200" s="7"/>
      <c r="AA200" s="3"/>
      <c r="AB200" s="5"/>
      <c r="AC200" s="6"/>
      <c r="AD200" s="7"/>
      <c r="AE200" s="3"/>
      <c r="AF200" s="5"/>
      <c r="AG200" s="6"/>
      <c r="AH200" s="7"/>
      <c r="AI200" s="2"/>
      <c r="AJ200" s="2"/>
      <c r="AK200" s="2"/>
      <c r="AL200" s="2"/>
      <c r="AM200" s="3"/>
      <c r="AN200" s="5"/>
      <c r="AO200" s="6"/>
      <c r="AP200" s="7"/>
      <c r="AQ200" s="3"/>
      <c r="AR200" s="5"/>
      <c r="AS200" s="6"/>
      <c r="AT200" s="7"/>
      <c r="AU200" s="3"/>
      <c r="AV200" s="5"/>
      <c r="AW200" s="6"/>
      <c r="AX200" s="7"/>
      <c r="AY200" s="2"/>
      <c r="AZ200" s="2"/>
      <c r="BA200" s="2"/>
      <c r="BB200" s="2"/>
      <c r="BC200" s="3"/>
      <c r="BD200" s="5"/>
      <c r="BE200" s="6"/>
      <c r="BF200" s="7"/>
      <c r="BG200" s="3"/>
      <c r="BH200" s="5"/>
      <c r="BI200" s="6"/>
      <c r="BJ200" s="7"/>
      <c r="BK200" s="3"/>
      <c r="BL200" s="5"/>
      <c r="BM200" s="6"/>
      <c r="BN200" s="7"/>
      <c r="BO200" s="2"/>
      <c r="BP200" s="2"/>
      <c r="BQ200" s="2"/>
      <c r="BR200" s="2"/>
    </row>
    <row r="201" spans="2:70" ht="18.75" customHeight="1" x14ac:dyDescent="0.25">
      <c r="B201" s="8" t="s">
        <v>678</v>
      </c>
      <c r="C201" s="3" t="s">
        <v>678</v>
      </c>
      <c r="D201" s="3"/>
      <c r="E201" s="5" t="s">
        <v>679</v>
      </c>
      <c r="F201" s="5"/>
      <c r="G201" s="6" t="str">
        <f ca="1">IFERROR(__xludf.DUMMYFUNCTION("GOOGLETRANSLATE(B201,""ja"",""ko"")"),"옥수수 하늘")</f>
        <v>옥수수 하늘</v>
      </c>
      <c r="H201" s="6"/>
      <c r="I201" s="7" t="str">
        <f ca="1">IFERROR(__xludf.DUMMYFUNCTION("GOOGLETRANSLATE(B201,""ja"",""zh"")"),"玉米天妇罗")</f>
        <v>玉米天妇罗</v>
      </c>
      <c r="J201" s="7"/>
      <c r="K201" s="3" t="s">
        <v>678</v>
      </c>
      <c r="L201" s="3"/>
      <c r="M201" s="5" t="s">
        <v>679</v>
      </c>
      <c r="N201" s="5"/>
      <c r="O201" s="6" t="str">
        <f ca="1">IFERROR(__xludf.DUMMYFUNCTION("GOOGLETRANSLATE(B201,""ja"",""ko"")"),"옥수수 하늘")</f>
        <v>옥수수 하늘</v>
      </c>
      <c r="P201" s="6"/>
      <c r="Q201" s="7" t="str">
        <f ca="1">IFERROR(__xludf.DUMMYFUNCTION("GOOGLETRANSLATE(B201,""ja"",""zh"")"),"玉米天妇罗")</f>
        <v>玉米天妇罗</v>
      </c>
      <c r="R201" s="7"/>
      <c r="S201" s="3" t="s">
        <v>678</v>
      </c>
      <c r="T201" s="5" t="str">
        <f ca="1">IFERROR(__xludf.DUMMYFUNCTION("GOOGLETRANSLATE(S201,""ja"",""en"")"),"Corn tempura")</f>
        <v>Corn tempura</v>
      </c>
      <c r="U201" s="6" t="str">
        <f ca="1">IFERROR(__xludf.DUMMYFUNCTION("GOOGLETRANSLATE(S201,""ja"",""ko"")"),"옥수수 하늘")</f>
        <v>옥수수 하늘</v>
      </c>
      <c r="V201" s="7" t="str">
        <f ca="1">IFERROR(__xludf.DUMMYFUNCTION("GOOGLETRANSLATE(S201,""ja"",""zh"")"),"玉米天妇罗")</f>
        <v>玉米天妇罗</v>
      </c>
      <c r="W201" s="3"/>
      <c r="X201" s="5"/>
      <c r="Y201" s="6"/>
      <c r="Z201" s="7"/>
      <c r="AA201" s="3"/>
      <c r="AB201" s="5"/>
      <c r="AC201" s="6"/>
      <c r="AD201" s="7"/>
      <c r="AE201" s="3"/>
      <c r="AF201" s="5"/>
      <c r="AG201" s="6"/>
      <c r="AH201" s="7"/>
      <c r="AI201" s="2"/>
      <c r="AJ201" s="2"/>
      <c r="AK201" s="2"/>
      <c r="AL201" s="2"/>
      <c r="AM201" s="3"/>
      <c r="AN201" s="5"/>
      <c r="AO201" s="6"/>
      <c r="AP201" s="7"/>
      <c r="AQ201" s="3"/>
      <c r="AR201" s="5"/>
      <c r="AS201" s="6"/>
      <c r="AT201" s="7"/>
      <c r="AU201" s="3"/>
      <c r="AV201" s="5"/>
      <c r="AW201" s="6"/>
      <c r="AX201" s="7"/>
      <c r="AY201" s="2"/>
      <c r="AZ201" s="2"/>
      <c r="BA201" s="2"/>
      <c r="BB201" s="2"/>
      <c r="BC201" s="3"/>
      <c r="BD201" s="5"/>
      <c r="BE201" s="6"/>
      <c r="BF201" s="7"/>
      <c r="BG201" s="3"/>
      <c r="BH201" s="5"/>
      <c r="BI201" s="6"/>
      <c r="BJ201" s="7"/>
      <c r="BK201" s="3"/>
      <c r="BL201" s="5"/>
      <c r="BM201" s="6"/>
      <c r="BN201" s="7"/>
      <c r="BO201" s="2"/>
      <c r="BP201" s="2"/>
      <c r="BQ201" s="2"/>
      <c r="BR201" s="2"/>
    </row>
    <row r="202" spans="2:70" ht="18.75" customHeight="1" x14ac:dyDescent="0.25">
      <c r="B202" s="8" t="s">
        <v>680</v>
      </c>
      <c r="C202" s="3" t="s">
        <v>680</v>
      </c>
      <c r="D202" s="3"/>
      <c r="E202" s="5" t="s">
        <v>282</v>
      </c>
      <c r="F202" s="5" t="s">
        <v>248</v>
      </c>
      <c r="G202" s="6" t="str">
        <f ca="1">IFERROR(__xludf.DUMMYFUNCTION("GOOGLETRANSLATE(B202,""ja"",""ko"")"),"1.5 구슬 추가 극태")</f>
        <v>1.5 구슬 추가 극태</v>
      </c>
      <c r="H202" s="6"/>
      <c r="I202" s="7" t="str">
        <f ca="1">IFERROR(__xludf.DUMMYFUNCTION("GOOGLETRANSLATE(B202,""ja"",""zh"")"),"1.5球加厚")</f>
        <v>1.5球加厚</v>
      </c>
      <c r="J202" s="7"/>
      <c r="K202" s="3" t="s">
        <v>681</v>
      </c>
      <c r="L202" s="3" t="s">
        <v>225</v>
      </c>
      <c r="M202" s="5" t="s">
        <v>282</v>
      </c>
      <c r="N202" s="5" t="s">
        <v>248</v>
      </c>
      <c r="O202" s="6" t="str">
        <f ca="1">IFERROR(__xludf.DUMMYFUNCTION("GOOGLETRANSLATE(B202,""ja"",""ko"")"),"1.5 구슬 추가 극태")</f>
        <v>1.5 구슬 추가 극태</v>
      </c>
      <c r="P202" s="6"/>
      <c r="Q202" s="7" t="str">
        <f ca="1">IFERROR(__xludf.DUMMYFUNCTION("GOOGLETRANSLATE(B202,""ja"",""zh"")"),"1.5球加厚")</f>
        <v>1.5球加厚</v>
      </c>
      <c r="R202" s="7"/>
      <c r="S202" s="3" t="s">
        <v>680</v>
      </c>
      <c r="T202" s="5" t="str">
        <f ca="1">IFERROR(__xludf.DUMMYFUNCTION("GOOGLETRANSLATE(S202,""ja"",""en"")"),"1.5 balls added extra thick")</f>
        <v>1.5 balls added extra thick</v>
      </c>
      <c r="U202" s="6" t="str">
        <f ca="1">IFERROR(__xludf.DUMMYFUNCTION("GOOGLETRANSLATE(S202,""ja"",""ko"")"),"1.5 구슬 추가 극태")</f>
        <v>1.5 구슬 추가 극태</v>
      </c>
      <c r="V202" s="7" t="str">
        <f ca="1">IFERROR(__xludf.DUMMYFUNCTION("GOOGLETRANSLATE(S202,""ja"",""zh"")"),"1.5球加厚")</f>
        <v>1.5球加厚</v>
      </c>
      <c r="W202" s="3"/>
      <c r="X202" s="5"/>
      <c r="Y202" s="6"/>
      <c r="Z202" s="7"/>
      <c r="AA202" s="3"/>
      <c r="AB202" s="5"/>
      <c r="AC202" s="6"/>
      <c r="AD202" s="7"/>
      <c r="AE202" s="3"/>
      <c r="AF202" s="5"/>
      <c r="AG202" s="6"/>
      <c r="AH202" s="7"/>
      <c r="AI202" s="2"/>
      <c r="AJ202" s="2"/>
      <c r="AK202" s="2"/>
      <c r="AL202" s="2"/>
      <c r="AM202" s="3"/>
      <c r="AN202" s="5"/>
      <c r="AO202" s="6"/>
      <c r="AP202" s="7"/>
      <c r="AQ202" s="3"/>
      <c r="AR202" s="5"/>
      <c r="AS202" s="6"/>
      <c r="AT202" s="7"/>
      <c r="AU202" s="3"/>
      <c r="AV202" s="5"/>
      <c r="AW202" s="6"/>
      <c r="AX202" s="7"/>
      <c r="AY202" s="2"/>
      <c r="AZ202" s="2"/>
      <c r="BA202" s="2"/>
      <c r="BB202" s="2"/>
      <c r="BC202" s="3"/>
      <c r="BD202" s="5"/>
      <c r="BE202" s="6"/>
      <c r="BF202" s="7"/>
      <c r="BG202" s="3"/>
      <c r="BH202" s="5"/>
      <c r="BI202" s="6"/>
      <c r="BJ202" s="7"/>
      <c r="BK202" s="3"/>
      <c r="BL202" s="5"/>
      <c r="BM202" s="6"/>
      <c r="BN202" s="7"/>
      <c r="BO202" s="2"/>
      <c r="BP202" s="2"/>
      <c r="BQ202" s="2"/>
      <c r="BR202" s="2"/>
    </row>
    <row r="203" spans="2:70" ht="18.75" customHeight="1" x14ac:dyDescent="0.25">
      <c r="B203" s="8" t="s">
        <v>682</v>
      </c>
      <c r="C203" s="3" t="s">
        <v>682</v>
      </c>
      <c r="D203" s="3"/>
      <c r="E203" s="5" t="s">
        <v>285</v>
      </c>
      <c r="F203" s="5" t="s">
        <v>248</v>
      </c>
      <c r="G203" s="6" t="str">
        <f ca="1">IFERROR(__xludf.DUMMYFUNCTION("GOOGLETRANSLATE(B203,""ja"",""ko"")"),"2옥 추가 극태")</f>
        <v>2옥 추가 극태</v>
      </c>
      <c r="H203" s="6"/>
      <c r="I203" s="7" t="str">
        <f ca="1">IFERROR(__xludf.DUMMYFUNCTION("GOOGLETRANSLATE(B203,""ja"",""zh"")"),"2 个球加厚")</f>
        <v>2 个球加厚</v>
      </c>
      <c r="J203" s="7"/>
      <c r="K203" s="3" t="s">
        <v>683</v>
      </c>
      <c r="L203" s="3" t="s">
        <v>225</v>
      </c>
      <c r="M203" s="5" t="s">
        <v>285</v>
      </c>
      <c r="N203" s="5" t="s">
        <v>248</v>
      </c>
      <c r="O203" s="6" t="str">
        <f ca="1">IFERROR(__xludf.DUMMYFUNCTION("GOOGLETRANSLATE(B203,""ja"",""ko"")"),"2옥 추가 극태")</f>
        <v>2옥 추가 극태</v>
      </c>
      <c r="P203" s="6"/>
      <c r="Q203" s="7" t="str">
        <f ca="1">IFERROR(__xludf.DUMMYFUNCTION("GOOGLETRANSLATE(B203,""ja"",""zh"")"),"2 个球加厚")</f>
        <v>2 个球加厚</v>
      </c>
      <c r="R203" s="7"/>
      <c r="S203" s="3" t="s">
        <v>682</v>
      </c>
      <c r="T203" s="5" t="str">
        <f ca="1">IFERROR(__xludf.DUMMYFUNCTION("GOOGLETRANSLATE(S203,""ja"",""en"")"),"2 balls added extra thick")</f>
        <v>2 balls added extra thick</v>
      </c>
      <c r="U203" s="6" t="str">
        <f ca="1">IFERROR(__xludf.DUMMYFUNCTION("GOOGLETRANSLATE(S203,""ja"",""ko"")"),"2옥 추가 극태")</f>
        <v>2옥 추가 극태</v>
      </c>
      <c r="V203" s="7" t="str">
        <f ca="1">IFERROR(__xludf.DUMMYFUNCTION("GOOGLETRANSLATE(S203,""ja"",""zh"")"),"2 个球加厚")</f>
        <v>2 个球加厚</v>
      </c>
      <c r="W203" s="3"/>
      <c r="X203" s="5"/>
      <c r="Y203" s="6"/>
      <c r="Z203" s="7"/>
      <c r="AA203" s="3"/>
      <c r="AB203" s="5"/>
      <c r="AC203" s="6"/>
      <c r="AD203" s="7"/>
      <c r="AE203" s="3"/>
      <c r="AF203" s="5"/>
      <c r="AG203" s="6"/>
      <c r="AH203" s="7"/>
      <c r="AI203" s="2"/>
      <c r="AJ203" s="2"/>
      <c r="AK203" s="2"/>
      <c r="AL203" s="2"/>
      <c r="AM203" s="3"/>
      <c r="AN203" s="5"/>
      <c r="AO203" s="6"/>
      <c r="AP203" s="7"/>
      <c r="AQ203" s="3"/>
      <c r="AR203" s="5"/>
      <c r="AS203" s="6"/>
      <c r="AT203" s="7"/>
      <c r="AU203" s="3"/>
      <c r="AV203" s="5"/>
      <c r="AW203" s="6"/>
      <c r="AX203" s="7"/>
      <c r="AY203" s="2"/>
      <c r="AZ203" s="2"/>
      <c r="BA203" s="2"/>
      <c r="BB203" s="2"/>
      <c r="BC203" s="3"/>
      <c r="BD203" s="5"/>
      <c r="BE203" s="6"/>
      <c r="BF203" s="7"/>
      <c r="BG203" s="3"/>
      <c r="BH203" s="5"/>
      <c r="BI203" s="6"/>
      <c r="BJ203" s="7"/>
      <c r="BK203" s="3"/>
      <c r="BL203" s="5"/>
      <c r="BM203" s="6"/>
      <c r="BN203" s="7"/>
      <c r="BO203" s="2"/>
      <c r="BP203" s="2"/>
      <c r="BQ203" s="2"/>
      <c r="BR203" s="2"/>
    </row>
    <row r="204" spans="2:70" ht="18.75" customHeight="1" x14ac:dyDescent="0.25">
      <c r="B204" s="8" t="s">
        <v>684</v>
      </c>
      <c r="C204" s="3" t="s">
        <v>684</v>
      </c>
      <c r="D204" s="3"/>
      <c r="E204" s="5" t="s">
        <v>282</v>
      </c>
      <c r="F204" s="5" t="s">
        <v>256</v>
      </c>
      <c r="G204" s="6" t="str">
        <f ca="1">IFERROR(__xludf.DUMMYFUNCTION("GOOGLETRANSLATE(B204,""ja"",""ko"")"),"1.5 구슬 추가 푸른 김")</f>
        <v>1.5 구슬 추가 푸른 김</v>
      </c>
      <c r="H204" s="6"/>
      <c r="I204" s="7" t="str">
        <f ca="1">IFERROR(__xludf.DUMMYFUNCTION("GOOGLETRANSLATE(B204,""ja"",""zh"")"),"1.5球添加绿海藻")</f>
        <v>1.5球添加绿海藻</v>
      </c>
      <c r="J204" s="7"/>
      <c r="K204" s="3" t="s">
        <v>685</v>
      </c>
      <c r="L204" s="3" t="s">
        <v>686</v>
      </c>
      <c r="M204" s="5" t="s">
        <v>282</v>
      </c>
      <c r="N204" s="5" t="s">
        <v>256</v>
      </c>
      <c r="O204" s="6" t="str">
        <f ca="1">IFERROR(__xludf.DUMMYFUNCTION("GOOGLETRANSLATE(B204,""ja"",""ko"")"),"1.5 구슬 추가 푸른 김")</f>
        <v>1.5 구슬 추가 푸른 김</v>
      </c>
      <c r="P204" s="6"/>
      <c r="Q204" s="7" t="str">
        <f ca="1">IFERROR(__xludf.DUMMYFUNCTION("GOOGLETRANSLATE(B204,""ja"",""zh"")"),"1.5球添加绿海藻")</f>
        <v>1.5球添加绿海藻</v>
      </c>
      <c r="R204" s="7"/>
      <c r="S204" s="3" t="s">
        <v>684</v>
      </c>
      <c r="T204" s="5" t="str">
        <f ca="1">IFERROR(__xludf.DUMMYFUNCTION("GOOGLETRANSLATE(S204,""ja"",""en"")"),"1.5 balls added green seaweed")</f>
        <v>1.5 balls added green seaweed</v>
      </c>
      <c r="U204" s="6" t="str">
        <f ca="1">IFERROR(__xludf.DUMMYFUNCTION("GOOGLETRANSLATE(S204,""ja"",""ko"")"),"1.5 구슬 추가 푸른 김")</f>
        <v>1.5 구슬 추가 푸른 김</v>
      </c>
      <c r="V204" s="7" t="str">
        <f ca="1">IFERROR(__xludf.DUMMYFUNCTION("GOOGLETRANSLATE(S204,""ja"",""zh"")"),"1.5球添加绿海藻")</f>
        <v>1.5球添加绿海藻</v>
      </c>
      <c r="W204" s="3"/>
      <c r="X204" s="5"/>
      <c r="Y204" s="6"/>
      <c r="Z204" s="7"/>
      <c r="AA204" s="3"/>
      <c r="AB204" s="5"/>
      <c r="AC204" s="6"/>
      <c r="AD204" s="7"/>
      <c r="AE204" s="3"/>
      <c r="AF204" s="5"/>
      <c r="AG204" s="6"/>
      <c r="AH204" s="7"/>
      <c r="AI204" s="2"/>
      <c r="AJ204" s="2"/>
      <c r="AK204" s="2"/>
      <c r="AL204" s="2"/>
      <c r="AM204" s="3"/>
      <c r="AN204" s="5"/>
      <c r="AO204" s="6"/>
      <c r="AP204" s="7"/>
      <c r="AQ204" s="3"/>
      <c r="AR204" s="5"/>
      <c r="AS204" s="6"/>
      <c r="AT204" s="7"/>
      <c r="AU204" s="3"/>
      <c r="AV204" s="5"/>
      <c r="AW204" s="6"/>
      <c r="AX204" s="7"/>
      <c r="AY204" s="2"/>
      <c r="AZ204" s="2"/>
      <c r="BA204" s="2"/>
      <c r="BB204" s="2"/>
      <c r="BC204" s="3"/>
      <c r="BD204" s="5"/>
      <c r="BE204" s="6"/>
      <c r="BF204" s="7"/>
      <c r="BG204" s="3"/>
      <c r="BH204" s="5"/>
      <c r="BI204" s="6"/>
      <c r="BJ204" s="7"/>
      <c r="BK204" s="3"/>
      <c r="BL204" s="5"/>
      <c r="BM204" s="6"/>
      <c r="BN204" s="7"/>
      <c r="BO204" s="2"/>
      <c r="BP204" s="2"/>
      <c r="BQ204" s="2"/>
      <c r="BR204" s="2"/>
    </row>
    <row r="205" spans="2:70" ht="18.75" customHeight="1" x14ac:dyDescent="0.25">
      <c r="B205" s="8" t="s">
        <v>687</v>
      </c>
      <c r="C205" s="3" t="s">
        <v>688</v>
      </c>
      <c r="D205" s="3"/>
      <c r="E205" s="5" t="s">
        <v>285</v>
      </c>
      <c r="F205" s="5" t="s">
        <v>256</v>
      </c>
      <c r="G205" s="6" t="str">
        <f ca="1">IFERROR(__xludf.DUMMYFUNCTION("GOOGLETRANSLATE(B205,""ja"",""ko"")"),"2 구슬 추가 푸른 노리")</f>
        <v>2 구슬 추가 푸른 노리</v>
      </c>
      <c r="H205" s="6"/>
      <c r="I205" s="7" t="str">
        <f ca="1">IFERROR(__xludf.DUMMYFUNCTION("GOOGLETRANSLATE(B205,""ja"",""zh"")"),"2球添加绿海藻")</f>
        <v>2球添加绿海藻</v>
      </c>
      <c r="J205" s="7"/>
      <c r="K205" s="3" t="s">
        <v>689</v>
      </c>
      <c r="L205" s="3" t="s">
        <v>235</v>
      </c>
      <c r="M205" s="5" t="s">
        <v>285</v>
      </c>
      <c r="N205" s="5" t="s">
        <v>256</v>
      </c>
      <c r="O205" s="6" t="str">
        <f ca="1">IFERROR(__xludf.DUMMYFUNCTION("GOOGLETRANSLATE(B205,""ja"",""ko"")"),"2 구슬 추가 푸른 노리")</f>
        <v>2 구슬 추가 푸른 노리</v>
      </c>
      <c r="P205" s="6"/>
      <c r="Q205" s="7" t="str">
        <f ca="1">IFERROR(__xludf.DUMMYFUNCTION("GOOGLETRANSLATE(B205,""ja"",""zh"")"),"2球添加绿海藻")</f>
        <v>2球添加绿海藻</v>
      </c>
      <c r="R205" s="7"/>
      <c r="S205" s="3" t="s">
        <v>688</v>
      </c>
      <c r="T205" s="5" t="str">
        <f ca="1">IFERROR(__xludf.DUMMYFUNCTION("GOOGLETRANSLATE(S205,""ja"",""en"")"),"2 balls added green seaweed")</f>
        <v>2 balls added green seaweed</v>
      </c>
      <c r="U205" s="6" t="str">
        <f ca="1">IFERROR(__xludf.DUMMYFUNCTION("GOOGLETRANSLATE(S205,""ja"",""ko"")"),"2 구슬 추가 푸른 김")</f>
        <v>2 구슬 추가 푸른 김</v>
      </c>
      <c r="V205" s="7" t="str">
        <f ca="1">IFERROR(__xludf.DUMMYFUNCTION("GOOGLETRANSLATE(S205,""ja"",""zh"")"),"2球添加绿海藻")</f>
        <v>2球添加绿海藻</v>
      </c>
      <c r="W205" s="3"/>
      <c r="X205" s="5"/>
      <c r="Y205" s="6"/>
      <c r="Z205" s="7"/>
      <c r="AA205" s="3"/>
      <c r="AB205" s="5"/>
      <c r="AC205" s="6"/>
      <c r="AD205" s="7"/>
      <c r="AE205" s="3"/>
      <c r="AF205" s="5"/>
      <c r="AG205" s="6"/>
      <c r="AH205" s="7"/>
      <c r="AI205" s="2"/>
      <c r="AJ205" s="2"/>
      <c r="AK205" s="2"/>
      <c r="AL205" s="2"/>
      <c r="AM205" s="3"/>
      <c r="AN205" s="5"/>
      <c r="AO205" s="6"/>
      <c r="AP205" s="7"/>
      <c r="AQ205" s="3"/>
      <c r="AR205" s="5"/>
      <c r="AS205" s="6"/>
      <c r="AT205" s="7"/>
      <c r="AU205" s="3"/>
      <c r="AV205" s="5"/>
      <c r="AW205" s="6"/>
      <c r="AX205" s="7"/>
      <c r="AY205" s="2"/>
      <c r="AZ205" s="2"/>
      <c r="BA205" s="2"/>
      <c r="BB205" s="2"/>
      <c r="BC205" s="3"/>
      <c r="BD205" s="5"/>
      <c r="BE205" s="6"/>
      <c r="BF205" s="7"/>
      <c r="BG205" s="3"/>
      <c r="BH205" s="5"/>
      <c r="BI205" s="6"/>
      <c r="BJ205" s="7"/>
      <c r="BK205" s="3"/>
      <c r="BL205" s="5"/>
      <c r="BM205" s="6"/>
      <c r="BN205" s="7"/>
      <c r="BO205" s="2"/>
      <c r="BP205" s="2"/>
      <c r="BQ205" s="2"/>
      <c r="BR205" s="2"/>
    </row>
    <row r="206" spans="2:70" ht="18.75" customHeight="1" x14ac:dyDescent="0.25">
      <c r="B206" s="8" t="s">
        <v>690</v>
      </c>
      <c r="C206" s="3" t="s">
        <v>691</v>
      </c>
      <c r="D206" s="3" t="s">
        <v>692</v>
      </c>
      <c r="E206" s="5" t="s">
        <v>693</v>
      </c>
      <c r="F206" s="5" t="s">
        <v>565</v>
      </c>
      <c r="G206" s="6" t="str">
        <f ca="1">IFERROR(__xludf.DUMMYFUNCTION("GOOGLETRANSLATE(B206,""ja"",""ko"")"),"고쿠타 마루와 토마토의 차가운 우동")</f>
        <v>고쿠타 마루와 토마토의 차가운 우동</v>
      </c>
      <c r="H206" s="6"/>
      <c r="I206" s="7" t="str">
        <f ca="1">IFERROR(__xludf.DUMMYFUNCTION("GOOGLETRANSLATE(B206,""ja"",""zh"")"),"特厚番茄乌冬面")</f>
        <v>特厚番茄乌冬面</v>
      </c>
      <c r="J206" s="7"/>
      <c r="K206" s="3" t="s">
        <v>694</v>
      </c>
      <c r="L206" s="3" t="s">
        <v>692</v>
      </c>
      <c r="M206" s="5" t="s">
        <v>693</v>
      </c>
      <c r="N206" s="5" t="s">
        <v>565</v>
      </c>
      <c r="O206" s="6" t="str">
        <f ca="1">IFERROR(__xludf.DUMMYFUNCTION("GOOGLETRANSLATE(B206,""ja"",""ko"")"),"고쿠타 마루와 토마토의 차가운 우동")</f>
        <v>고쿠타 마루와 토마토의 차가운 우동</v>
      </c>
      <c r="P206" s="6"/>
      <c r="Q206" s="7" t="str">
        <f ca="1">IFERROR(__xludf.DUMMYFUNCTION("GOOGLETRANSLATE(B206,""ja"",""zh"")"),"特厚番茄乌冬面")</f>
        <v>特厚番茄乌冬面</v>
      </c>
      <c r="R206" s="7"/>
      <c r="S206" s="3" t="s">
        <v>691</v>
      </c>
      <c r="T206" s="5" t="str">
        <f ca="1">IFERROR(__xludf.DUMMYFUNCTION("GOOGLETRANSLATE(S206,""ja"",""en"")"),"Extra-thick whole tomato")</f>
        <v>Extra-thick whole tomato</v>
      </c>
      <c r="U206" s="6" t="str">
        <f ca="1">IFERROR(__xludf.DUMMYFUNCTION("GOOGLETRANSLATE(S206,""ja"",""ko"")"),"극태환과 토마토")</f>
        <v>극태환과 토마토</v>
      </c>
      <c r="V206" s="7" t="str">
        <f ca="1">IFERROR(__xludf.DUMMYFUNCTION("GOOGLETRANSLATE(S206,""ja"",""zh"")"),"特厚整番茄")</f>
        <v>特厚整番茄</v>
      </c>
      <c r="W206" s="3"/>
      <c r="X206" s="5"/>
      <c r="Y206" s="6"/>
      <c r="Z206" s="7"/>
      <c r="AA206" s="3"/>
      <c r="AB206" s="5"/>
      <c r="AC206" s="6"/>
      <c r="AD206" s="7"/>
      <c r="AE206" s="3"/>
      <c r="AF206" s="5"/>
      <c r="AG206" s="6"/>
      <c r="AH206" s="7"/>
      <c r="AI206" s="2"/>
      <c r="AJ206" s="2"/>
      <c r="AK206" s="2"/>
      <c r="AL206" s="2"/>
      <c r="AM206" s="3"/>
      <c r="AN206" s="5"/>
      <c r="AO206" s="6"/>
      <c r="AP206" s="7"/>
      <c r="AQ206" s="3"/>
      <c r="AR206" s="5"/>
      <c r="AS206" s="6"/>
      <c r="AT206" s="7"/>
      <c r="AU206" s="3"/>
      <c r="AV206" s="5"/>
      <c r="AW206" s="6"/>
      <c r="AX206" s="7"/>
      <c r="AY206" s="2"/>
      <c r="AZ206" s="2"/>
      <c r="BA206" s="2"/>
      <c r="BB206" s="2"/>
      <c r="BC206" s="3"/>
      <c r="BD206" s="5"/>
      <c r="BE206" s="6"/>
      <c r="BF206" s="7"/>
      <c r="BG206" s="3"/>
      <c r="BH206" s="5"/>
      <c r="BI206" s="6"/>
      <c r="BJ206" s="7"/>
      <c r="BK206" s="3"/>
      <c r="BL206" s="5"/>
      <c r="BM206" s="6"/>
      <c r="BN206" s="7"/>
      <c r="BO206" s="2"/>
      <c r="BP206" s="2"/>
      <c r="BQ206" s="2"/>
      <c r="BR206" s="2"/>
    </row>
    <row r="207" spans="2:70" ht="18.75" customHeight="1" x14ac:dyDescent="0.25">
      <c r="B207" s="8" t="s">
        <v>695</v>
      </c>
      <c r="C207" s="3" t="s">
        <v>696</v>
      </c>
      <c r="D207" s="3" t="s">
        <v>692</v>
      </c>
      <c r="E207" s="5" t="s">
        <v>693</v>
      </c>
      <c r="F207" s="5" t="s">
        <v>502</v>
      </c>
      <c r="G207" s="6" t="str">
        <f ca="1">IFERROR(__xludf.DUMMYFUNCTION("GOOGLETRANSLATE(B207,""ja"",""ko"")"),"푸른 통째로 토마토의 차가운 우동")</f>
        <v>푸른 통째로 토마토의 차가운 우동</v>
      </c>
      <c r="H207" s="6"/>
      <c r="I207" s="7" t="str">
        <f ca="1">IFERROR(__xludf.DUMMYFUNCTION("GOOGLETRANSLATE(B207,""ja"",""zh"")"),"全绿紫菜番茄冷乌冬面")</f>
        <v>全绿紫菜番茄冷乌冬面</v>
      </c>
      <c r="J207" s="7"/>
      <c r="K207" s="3" t="s">
        <v>697</v>
      </c>
      <c r="L207" s="3" t="s">
        <v>692</v>
      </c>
      <c r="M207" s="5" t="s">
        <v>693</v>
      </c>
      <c r="N207" s="5" t="s">
        <v>502</v>
      </c>
      <c r="O207" s="6" t="str">
        <f ca="1">IFERROR(__xludf.DUMMYFUNCTION("GOOGLETRANSLATE(B207,""ja"",""ko"")"),"푸른 통째로 토마토의 차가운 우동")</f>
        <v>푸른 통째로 토마토의 차가운 우동</v>
      </c>
      <c r="P207" s="6"/>
      <c r="Q207" s="7" t="str">
        <f ca="1">IFERROR(__xludf.DUMMYFUNCTION("GOOGLETRANSLATE(B207,""ja"",""zh"")"),"全绿紫菜番茄冷乌冬面")</f>
        <v>全绿紫菜番茄冷乌冬面</v>
      </c>
      <c r="R207" s="7"/>
      <c r="S207" s="3" t="s">
        <v>696</v>
      </c>
      <c r="T207" s="5" t="str">
        <f ca="1">IFERROR(__xludf.DUMMYFUNCTION("GOOGLETRANSLATE(S207,""ja"",""en"")"),"Aonori whole tomato")</f>
        <v>Aonori whole tomato</v>
      </c>
      <c r="U207" s="6" t="str">
        <f ca="1">IFERROR(__xludf.DUMMYFUNCTION("GOOGLETRANSLATE(S207,""ja"",""ko"")"),"푸른 통째로 토마토")</f>
        <v>푸른 통째로 토마토</v>
      </c>
      <c r="V207" s="7" t="str">
        <f ca="1">IFERROR(__xludf.DUMMYFUNCTION("GOOGLETRANSLATE(S207,""ja"",""zh"")"),"青海整个番茄")</f>
        <v>青海整个番茄</v>
      </c>
      <c r="W207" s="3"/>
      <c r="X207" s="5"/>
      <c r="Y207" s="6"/>
      <c r="Z207" s="7"/>
      <c r="AA207" s="3"/>
      <c r="AB207" s="5"/>
      <c r="AC207" s="6"/>
      <c r="AD207" s="7"/>
      <c r="AE207" s="3"/>
      <c r="AF207" s="5"/>
      <c r="AG207" s="6"/>
      <c r="AH207" s="7"/>
      <c r="AI207" s="2"/>
      <c r="AJ207" s="2"/>
      <c r="AK207" s="2"/>
      <c r="AL207" s="2"/>
      <c r="AM207" s="3"/>
      <c r="AN207" s="5"/>
      <c r="AO207" s="6"/>
      <c r="AP207" s="7"/>
      <c r="AQ207" s="3"/>
      <c r="AR207" s="5"/>
      <c r="AS207" s="6"/>
      <c r="AT207" s="7"/>
      <c r="AU207" s="3"/>
      <c r="AV207" s="5"/>
      <c r="AW207" s="6"/>
      <c r="AX207" s="7"/>
      <c r="AY207" s="2"/>
      <c r="AZ207" s="2"/>
      <c r="BA207" s="2"/>
      <c r="BB207" s="2"/>
      <c r="BC207" s="3"/>
      <c r="BD207" s="5"/>
      <c r="BE207" s="6"/>
      <c r="BF207" s="7"/>
      <c r="BG207" s="3"/>
      <c r="BH207" s="5"/>
      <c r="BI207" s="6"/>
      <c r="BJ207" s="7"/>
      <c r="BK207" s="3"/>
      <c r="BL207" s="5"/>
      <c r="BM207" s="6"/>
      <c r="BN207" s="7"/>
      <c r="BO207" s="2"/>
      <c r="BP207" s="2"/>
      <c r="BQ207" s="2"/>
      <c r="BR207" s="2"/>
    </row>
    <row r="208" spans="2:70" ht="18.75" customHeight="1" x14ac:dyDescent="0.25">
      <c r="B208" s="8" t="s">
        <v>698</v>
      </c>
      <c r="C208" s="3" t="s">
        <v>699</v>
      </c>
      <c r="D208" s="3" t="s">
        <v>549</v>
      </c>
      <c r="E208" s="5" t="s">
        <v>700</v>
      </c>
      <c r="F208" s="5" t="s">
        <v>118</v>
      </c>
      <c r="G208" s="6" t="str">
        <f ca="1">IFERROR(__xludf.DUMMYFUNCTION("GOOGLETRANSLATE(B208,""ja"",""ko"")"),"두꺼운 토마토 마마 부카케 우동")</f>
        <v>두꺼운 토마토 마마 부카케 우동</v>
      </c>
      <c r="H208" s="6"/>
      <c r="I208" s="7" t="str">
        <f ca="1">IFERROR(__xludf.DUMMYFUNCTION("GOOGLETRANSLATE(B208,""ja"",""zh"")"),"特厚番茄辣颜射乌冬面")</f>
        <v>特厚番茄辣颜射乌冬面</v>
      </c>
      <c r="J208" s="7"/>
      <c r="K208" s="3" t="s">
        <v>699</v>
      </c>
      <c r="L208" s="3" t="s">
        <v>549</v>
      </c>
      <c r="M208" s="5" t="s">
        <v>700</v>
      </c>
      <c r="N208" s="5" t="s">
        <v>118</v>
      </c>
      <c r="O208" s="6" t="str">
        <f ca="1">IFERROR(__xludf.DUMMYFUNCTION("GOOGLETRANSLATE(B208,""ja"",""ko"")"),"두꺼운 토마토 마마 부카케 우동")</f>
        <v>두꺼운 토마토 마마 부카케 우동</v>
      </c>
      <c r="P208" s="6"/>
      <c r="Q208" s="7" t="str">
        <f ca="1">IFERROR(__xludf.DUMMYFUNCTION("GOOGLETRANSLATE(B208,""ja"",""zh"")"),"特厚番茄辣颜射乌冬面")</f>
        <v>特厚番茄辣颜射乌冬面</v>
      </c>
      <c r="R208" s="7"/>
      <c r="S208" s="3" t="s">
        <v>701</v>
      </c>
      <c r="T208" s="5" t="str">
        <f ca="1">IFERROR(__xludf.DUMMYFUNCTION("GOOGLETRANSLATE(S208,""ja"",""en"")"),"Extra thick tomato sauce")</f>
        <v>Extra thick tomato sauce</v>
      </c>
      <c r="U208" s="6" t="str">
        <f ca="1">IFERROR(__xludf.DUMMYFUNCTION("GOOGLETRANSLATE(S208,""ja"",""ko"")"),"두꺼운 토마토 마마 부츠")</f>
        <v>두꺼운 토마토 마마 부츠</v>
      </c>
      <c r="V208" s="7" t="str">
        <f ca="1">IFERROR(__xludf.DUMMYFUNCTION("GOOGLETRANSLATE(S208,""ja"",""zh"")"),"特浓番茄酱")</f>
        <v>特浓番茄酱</v>
      </c>
      <c r="W208" s="3"/>
      <c r="X208" s="5"/>
      <c r="Y208" s="6"/>
      <c r="Z208" s="7"/>
      <c r="AA208" s="3"/>
      <c r="AB208" s="5"/>
      <c r="AC208" s="6"/>
      <c r="AD208" s="7"/>
      <c r="AE208" s="3"/>
      <c r="AF208" s="5"/>
      <c r="AG208" s="6"/>
      <c r="AH208" s="7"/>
      <c r="AI208" s="2"/>
      <c r="AJ208" s="2"/>
      <c r="AK208" s="2"/>
      <c r="AL208" s="2"/>
      <c r="AM208" s="3"/>
      <c r="AN208" s="5"/>
      <c r="AO208" s="6"/>
      <c r="AP208" s="7"/>
      <c r="AQ208" s="3"/>
      <c r="AR208" s="5"/>
      <c r="AS208" s="6"/>
      <c r="AT208" s="7"/>
      <c r="AU208" s="3"/>
      <c r="AV208" s="5"/>
      <c r="AW208" s="6"/>
      <c r="AX208" s="7"/>
      <c r="AY208" s="2"/>
      <c r="AZ208" s="2"/>
      <c r="BA208" s="2"/>
      <c r="BB208" s="2"/>
      <c r="BC208" s="3"/>
      <c r="BD208" s="5"/>
      <c r="BE208" s="6"/>
      <c r="BF208" s="7"/>
      <c r="BG208" s="3"/>
      <c r="BH208" s="5"/>
      <c r="BI208" s="6"/>
      <c r="BJ208" s="7"/>
      <c r="BK208" s="3"/>
      <c r="BL208" s="5"/>
      <c r="BM208" s="6"/>
      <c r="BN208" s="7"/>
      <c r="BO208" s="2"/>
      <c r="BP208" s="2"/>
      <c r="BQ208" s="2"/>
      <c r="BR208" s="2"/>
    </row>
    <row r="209" spans="2:70" ht="18.75" customHeight="1" x14ac:dyDescent="0.25">
      <c r="B209" s="8" t="s">
        <v>702</v>
      </c>
      <c r="C209" s="3" t="s">
        <v>703</v>
      </c>
      <c r="D209" s="3" t="s">
        <v>549</v>
      </c>
      <c r="E209" s="5" t="s">
        <v>704</v>
      </c>
      <c r="F209" s="5" t="s">
        <v>705</v>
      </c>
      <c r="G209" s="6" t="str">
        <f ca="1">IFERROR(__xludf.DUMMYFUNCTION("GOOGLETRANSLATE(B209,""ja"",""ko"")"),"두꺼운 중매 토마토 마질 부카케 우동")</f>
        <v>두꺼운 중매 토마토 마질 부카케 우동</v>
      </c>
      <c r="H209" s="6"/>
      <c r="I209" s="7" t="str">
        <f ca="1">IFERROR(__xludf.DUMMYFUNCTION("GOOGLETRANSLATE(B209,""ja"",""zh"")"),"特厚中辣番茄辣颜射乌冬面")</f>
        <v>特厚中辣番茄辣颜射乌冬面</v>
      </c>
      <c r="J209" s="7"/>
      <c r="K209" s="3" t="s">
        <v>703</v>
      </c>
      <c r="L209" s="3" t="s">
        <v>549</v>
      </c>
      <c r="M209" s="5" t="s">
        <v>704</v>
      </c>
      <c r="N209" s="5" t="s">
        <v>705</v>
      </c>
      <c r="O209" s="6" t="str">
        <f ca="1">IFERROR(__xludf.DUMMYFUNCTION("GOOGLETRANSLATE(B209,""ja"",""ko"")"),"두꺼운 중매 토마토 마질 부카케 우동")</f>
        <v>두꺼운 중매 토마토 마질 부카케 우동</v>
      </c>
      <c r="P209" s="6"/>
      <c r="Q209" s="7" t="str">
        <f ca="1">IFERROR(__xludf.DUMMYFUNCTION("GOOGLETRANSLATE(B209,""ja"",""zh"")"),"特厚中辣番茄辣颜射乌冬面")</f>
        <v>特厚中辣番茄辣颜射乌冬面</v>
      </c>
      <c r="R209" s="7"/>
      <c r="S209" s="3" t="s">
        <v>703</v>
      </c>
      <c r="T209" s="5" t="str">
        <f ca="1">IFERROR(__xludf.DUMMYFUNCTION("GOOGLETRANSLATE(S209,""ja"",""en"")"),"Extra thick medium spicy tomato sauce")</f>
        <v>Extra thick medium spicy tomato sauce</v>
      </c>
      <c r="U209" s="6" t="str">
        <f ca="1">IFERROR(__xludf.DUMMYFUNCTION("GOOGLETRANSLATE(S209,""ja"",""ko"")"),"두꺼운 중매 토마토 마마")</f>
        <v>두꺼운 중매 토마토 마마</v>
      </c>
      <c r="V209" s="7" t="str">
        <f ca="1">IFERROR(__xludf.DUMMYFUNCTION("GOOGLETRANSLATE(S209,""ja"",""zh"")"),"特浓中辣番茄酱")</f>
        <v>特浓中辣番茄酱</v>
      </c>
      <c r="W209" s="3"/>
      <c r="X209" s="5"/>
      <c r="Y209" s="6"/>
      <c r="Z209" s="7"/>
      <c r="AA209" s="3"/>
      <c r="AB209" s="5"/>
      <c r="AC209" s="6"/>
      <c r="AD209" s="7"/>
      <c r="AE209" s="3"/>
      <c r="AF209" s="5"/>
      <c r="AG209" s="6"/>
      <c r="AH209" s="7"/>
      <c r="AI209" s="2"/>
      <c r="AJ209" s="2"/>
      <c r="AK209" s="2"/>
      <c r="AL209" s="2"/>
      <c r="AM209" s="3"/>
      <c r="AN209" s="5"/>
      <c r="AO209" s="6"/>
      <c r="AP209" s="7"/>
      <c r="AQ209" s="3"/>
      <c r="AR209" s="5"/>
      <c r="AS209" s="6"/>
      <c r="AT209" s="7"/>
      <c r="AU209" s="3"/>
      <c r="AV209" s="5"/>
      <c r="AW209" s="6"/>
      <c r="AX209" s="7"/>
      <c r="AY209" s="2"/>
      <c r="AZ209" s="2"/>
      <c r="BA209" s="2"/>
      <c r="BB209" s="2"/>
      <c r="BC209" s="3"/>
      <c r="BD209" s="5"/>
      <c r="BE209" s="6"/>
      <c r="BF209" s="7"/>
      <c r="BG209" s="3"/>
      <c r="BH209" s="5"/>
      <c r="BI209" s="6"/>
      <c r="BJ209" s="7"/>
      <c r="BK209" s="3"/>
      <c r="BL209" s="5"/>
      <c r="BM209" s="6"/>
      <c r="BN209" s="7"/>
      <c r="BO209" s="2"/>
      <c r="BP209" s="2"/>
      <c r="BQ209" s="2"/>
      <c r="BR209" s="2"/>
    </row>
    <row r="210" spans="2:70" ht="18.75" customHeight="1" x14ac:dyDescent="0.25">
      <c r="B210" s="8" t="s">
        <v>706</v>
      </c>
      <c r="C210" s="3" t="s">
        <v>707</v>
      </c>
      <c r="D210" s="3" t="s">
        <v>549</v>
      </c>
      <c r="E210" s="5" t="s">
        <v>708</v>
      </c>
      <c r="F210" s="5" t="s">
        <v>709</v>
      </c>
      <c r="G210" s="6" t="str">
        <f ca="1">IFERROR(__xludf.DUMMYFUNCTION("GOOGLETRANSLATE(B210,""ja"",""ko"")"),"슈퍼 굵은 토마토 마마 부카케 우동")</f>
        <v>슈퍼 굵은 토마토 마마 부카케 우동</v>
      </c>
      <c r="H210" s="6"/>
      <c r="I210" s="7" t="str">
        <f ca="1">IFERROR(__xludf.DUMMYFUNCTION("GOOGLETRANSLATE(B210,""ja"",""zh"")"),"特厚辣番茄颜射乌冬面")</f>
        <v>特厚辣番茄颜射乌冬面</v>
      </c>
      <c r="J210" s="7"/>
      <c r="K210" s="3" t="s">
        <v>707</v>
      </c>
      <c r="L210" s="3" t="s">
        <v>549</v>
      </c>
      <c r="M210" s="5" t="s">
        <v>708</v>
      </c>
      <c r="N210" s="5" t="s">
        <v>709</v>
      </c>
      <c r="O210" s="6" t="str">
        <f ca="1">IFERROR(__xludf.DUMMYFUNCTION("GOOGLETRANSLATE(B210,""ja"",""ko"")"),"슈퍼 굵은 토마토 마마 부카케 우동")</f>
        <v>슈퍼 굵은 토마토 마마 부카케 우동</v>
      </c>
      <c r="P210" s="6"/>
      <c r="Q210" s="7" t="str">
        <f ca="1">IFERROR(__xludf.DUMMYFUNCTION("GOOGLETRANSLATE(B210,""ja"",""zh"")"),"特厚辣番茄颜射乌冬面")</f>
        <v>特厚辣番茄颜射乌冬面</v>
      </c>
      <c r="R210" s="7"/>
      <c r="S210" s="3" t="s">
        <v>707</v>
      </c>
      <c r="T210" s="5" t="str">
        <f ca="1">IFERROR(__xludf.DUMMYFUNCTION("GOOGLETRANSLATE(S210,""ja"",""en"")"),"Extra thick spicy tomato sauce")</f>
        <v>Extra thick spicy tomato sauce</v>
      </c>
      <c r="U210" s="6" t="str">
        <f ca="1">IFERROR(__xludf.DUMMYFUNCTION("GOOGLETRANSLATE(S210,""ja"",""ko"")"),"두꺼운 큰 매운 토마토 마마")</f>
        <v>두꺼운 큰 매운 토마토 마마</v>
      </c>
      <c r="V210" s="7" t="str">
        <f ca="1">IFERROR(__xludf.DUMMYFUNCTION("GOOGLETRANSLATE(S210,""ja"",""zh"")"),"特浓辣番茄酱")</f>
        <v>特浓辣番茄酱</v>
      </c>
      <c r="W210" s="3"/>
      <c r="X210" s="5"/>
      <c r="Y210" s="6"/>
      <c r="Z210" s="7"/>
      <c r="AA210" s="3"/>
      <c r="AB210" s="5"/>
      <c r="AC210" s="6"/>
      <c r="AD210" s="7"/>
      <c r="AE210" s="3"/>
      <c r="AF210" s="5"/>
      <c r="AG210" s="6"/>
      <c r="AH210" s="7"/>
      <c r="AI210" s="2"/>
      <c r="AJ210" s="2"/>
      <c r="AK210" s="2"/>
      <c r="AL210" s="2"/>
      <c r="AM210" s="3"/>
      <c r="AN210" s="5"/>
      <c r="AO210" s="6"/>
      <c r="AP210" s="7"/>
      <c r="AQ210" s="3"/>
      <c r="AR210" s="5"/>
      <c r="AS210" s="6"/>
      <c r="AT210" s="7"/>
      <c r="AU210" s="3"/>
      <c r="AV210" s="5"/>
      <c r="AW210" s="6"/>
      <c r="AX210" s="7"/>
      <c r="AY210" s="2"/>
      <c r="AZ210" s="2"/>
      <c r="BA210" s="2"/>
      <c r="BB210" s="2"/>
      <c r="BC210" s="3"/>
      <c r="BD210" s="5"/>
      <c r="BE210" s="6"/>
      <c r="BF210" s="7"/>
      <c r="BG210" s="3"/>
      <c r="BH210" s="5"/>
      <c r="BI210" s="6"/>
      <c r="BJ210" s="7"/>
      <c r="BK210" s="3"/>
      <c r="BL210" s="5"/>
      <c r="BM210" s="6"/>
      <c r="BN210" s="7"/>
      <c r="BO210" s="2"/>
      <c r="BP210" s="2"/>
      <c r="BQ210" s="2"/>
      <c r="BR210" s="2"/>
    </row>
    <row r="211" spans="2:70" ht="18.75" customHeight="1" x14ac:dyDescent="0.25">
      <c r="B211" s="8" t="s">
        <v>710</v>
      </c>
      <c r="C211" s="3" t="s">
        <v>711</v>
      </c>
      <c r="D211" s="3" t="s">
        <v>549</v>
      </c>
      <c r="E211" s="5" t="s">
        <v>712</v>
      </c>
      <c r="F211" s="5" t="s">
        <v>709</v>
      </c>
      <c r="G211" s="6" t="str">
        <f ca="1">IFERROR(__xludf.DUMMYFUNCTION("GOOGLETRANSLATE(B211,""ja"",""ko"")"),"두꺼운 악마 토마토 마마 부카케 우동")</f>
        <v>두꺼운 악마 토마토 마마 부카케 우동</v>
      </c>
      <c r="H211" s="6"/>
      <c r="I211" s="7" t="str">
        <f ca="1">IFERROR(__xludf.DUMMYFUNCTION("GOOGLETRANSLATE(B211,""ja"",""zh"")"),"特厚辣番茄颜射乌冬面")</f>
        <v>特厚辣番茄颜射乌冬面</v>
      </c>
      <c r="J211" s="7"/>
      <c r="K211" s="3" t="s">
        <v>711</v>
      </c>
      <c r="L211" s="3" t="s">
        <v>549</v>
      </c>
      <c r="M211" s="5" t="s">
        <v>712</v>
      </c>
      <c r="N211" s="5" t="s">
        <v>709</v>
      </c>
      <c r="O211" s="6" t="str">
        <f ca="1">IFERROR(__xludf.DUMMYFUNCTION("GOOGLETRANSLATE(B211,""ja"",""ko"")"),"두꺼운 악마 토마토 마마 부카케 우동")</f>
        <v>두꺼운 악마 토마토 마마 부카케 우동</v>
      </c>
      <c r="P211" s="6"/>
      <c r="Q211" s="7" t="str">
        <f ca="1">IFERROR(__xludf.DUMMYFUNCTION("GOOGLETRANSLATE(B211,""ja"",""zh"")"),"特厚辣番茄颜射乌冬面")</f>
        <v>特厚辣番茄颜射乌冬面</v>
      </c>
      <c r="R211" s="7"/>
      <c r="S211" s="3" t="s">
        <v>711</v>
      </c>
      <c r="T211" s="5" t="str">
        <f ca="1">IFERROR(__xludf.DUMMYFUNCTION("GOOGLETRANSLATE(S211,""ja"",""en"")"),"Extra thick spicy tomato sauce")</f>
        <v>Extra thick spicy tomato sauce</v>
      </c>
      <c r="U211" s="6" t="str">
        <f ca="1">IFERROR(__xludf.DUMMYFUNCTION("GOOGLETRANSLATE(S211,""ja"",""ko"")"),"두꺼운 악마 토마토 마마")</f>
        <v>두꺼운 악마 토마토 마마</v>
      </c>
      <c r="V211" s="7" t="str">
        <f ca="1">IFERROR(__xludf.DUMMYFUNCTION("GOOGLETRANSLATE(S211,""ja"",""zh"")"),"特浓辣番茄酱")</f>
        <v>特浓辣番茄酱</v>
      </c>
      <c r="W211" s="3"/>
      <c r="X211" s="5"/>
      <c r="Y211" s="6"/>
      <c r="Z211" s="7"/>
      <c r="AA211" s="3"/>
      <c r="AB211" s="5"/>
      <c r="AC211" s="6"/>
      <c r="AD211" s="7"/>
      <c r="AE211" s="3"/>
      <c r="AF211" s="5"/>
      <c r="AG211" s="6"/>
      <c r="AH211" s="7"/>
      <c r="AI211" s="2"/>
      <c r="AJ211" s="2"/>
      <c r="AK211" s="2"/>
      <c r="AL211" s="2"/>
      <c r="AM211" s="3"/>
      <c r="AN211" s="5"/>
      <c r="AO211" s="6"/>
      <c r="AP211" s="7"/>
      <c r="AQ211" s="3"/>
      <c r="AR211" s="5"/>
      <c r="AS211" s="6"/>
      <c r="AT211" s="7"/>
      <c r="AU211" s="3"/>
      <c r="AV211" s="5"/>
      <c r="AW211" s="6"/>
      <c r="AX211" s="7"/>
      <c r="AY211" s="2"/>
      <c r="AZ211" s="2"/>
      <c r="BA211" s="2"/>
      <c r="BB211" s="2"/>
      <c r="BC211" s="3"/>
      <c r="BD211" s="5"/>
      <c r="BE211" s="6"/>
      <c r="BF211" s="7"/>
      <c r="BG211" s="3"/>
      <c r="BH211" s="5"/>
      <c r="BI211" s="6"/>
      <c r="BJ211" s="7"/>
      <c r="BK211" s="3"/>
      <c r="BL211" s="5"/>
      <c r="BM211" s="6"/>
      <c r="BN211" s="7"/>
      <c r="BO211" s="2"/>
      <c r="BP211" s="2"/>
      <c r="BQ211" s="2"/>
      <c r="BR211" s="2"/>
    </row>
    <row r="212" spans="2:70" ht="18.75" customHeight="1" x14ac:dyDescent="0.25">
      <c r="B212" s="8" t="s">
        <v>713</v>
      </c>
      <c r="C212" s="3" t="s">
        <v>714</v>
      </c>
      <c r="D212" s="3" t="s">
        <v>549</v>
      </c>
      <c r="E212" s="5" t="s">
        <v>715</v>
      </c>
      <c r="F212" s="5" t="s">
        <v>118</v>
      </c>
      <c r="G212" s="6" t="str">
        <f ca="1">IFERROR(__xludf.DUMMYFUNCTION("GOOGLETRANSLATE(B212,""ja"",""ko"")"),"푸른 노리 토마토 마마 부카케 우동")</f>
        <v>푸른 노리 토마토 마마 부카케 우동</v>
      </c>
      <c r="H212" s="6"/>
      <c r="I212" s="7" t="str">
        <f ca="1">IFERROR(__xludf.DUMMYFUNCTION("GOOGLETRANSLATE(B212,""ja"",""zh"")"),"青海番茄辣颜射乌冬面")</f>
        <v>青海番茄辣颜射乌冬面</v>
      </c>
      <c r="J212" s="7"/>
      <c r="K212" s="3" t="s">
        <v>714</v>
      </c>
      <c r="L212" s="3" t="s">
        <v>549</v>
      </c>
      <c r="M212" s="5" t="s">
        <v>715</v>
      </c>
      <c r="N212" s="5" t="s">
        <v>118</v>
      </c>
      <c r="O212" s="6" t="str">
        <f ca="1">IFERROR(__xludf.DUMMYFUNCTION("GOOGLETRANSLATE(B212,""ja"",""ko"")"),"푸른 노리 토마토 마마 부카케 우동")</f>
        <v>푸른 노리 토마토 마마 부카케 우동</v>
      </c>
      <c r="P212" s="6"/>
      <c r="Q212" s="7" t="str">
        <f ca="1">IFERROR(__xludf.DUMMYFUNCTION("GOOGLETRANSLATE(B212,""ja"",""zh"")"),"青海番茄辣颜射乌冬面")</f>
        <v>青海番茄辣颜射乌冬面</v>
      </c>
      <c r="R212" s="7"/>
      <c r="S212" s="3" t="s">
        <v>716</v>
      </c>
      <c r="T212" s="5" t="str">
        <f ca="1">IFERROR(__xludf.DUMMYFUNCTION("GOOGLETRANSLATE(S212,""ja"",""en"")"),"Aonori Tomato Spicy Bu")</f>
        <v>Aonori Tomato Spicy Bu</v>
      </c>
      <c r="U212" s="6" t="str">
        <f ca="1">IFERROR(__xludf.DUMMYFUNCTION("GOOGLETRANSLATE(S212,""ja"",""ko"")"),"푸른 노리 토마토 마술")</f>
        <v>푸른 노리 토마토 마술</v>
      </c>
      <c r="V212" s="7" t="str">
        <f ca="1">IFERROR(__xludf.DUMMYFUNCTION("GOOGLETRANSLATE(S212,""ja"",""zh"")"),"青海番茄辣卜")</f>
        <v>青海番茄辣卜</v>
      </c>
      <c r="W212" s="3"/>
      <c r="X212" s="5"/>
      <c r="Y212" s="6"/>
      <c r="Z212" s="7"/>
      <c r="AA212" s="3"/>
      <c r="AB212" s="5"/>
      <c r="AC212" s="6"/>
      <c r="AD212" s="7"/>
      <c r="AE212" s="3"/>
      <c r="AF212" s="5"/>
      <c r="AG212" s="6"/>
      <c r="AH212" s="7"/>
      <c r="AI212" s="2"/>
      <c r="AJ212" s="2"/>
      <c r="AK212" s="2"/>
      <c r="AL212" s="2"/>
      <c r="AM212" s="3"/>
      <c r="AN212" s="5"/>
      <c r="AO212" s="6"/>
      <c r="AP212" s="7"/>
      <c r="AQ212" s="3"/>
      <c r="AR212" s="5"/>
      <c r="AS212" s="6"/>
      <c r="AT212" s="7"/>
      <c r="AU212" s="3"/>
      <c r="AV212" s="5"/>
      <c r="AW212" s="6"/>
      <c r="AX212" s="7"/>
      <c r="AY212" s="2"/>
      <c r="AZ212" s="2"/>
      <c r="BA212" s="2"/>
      <c r="BB212" s="2"/>
      <c r="BC212" s="3"/>
      <c r="BD212" s="5"/>
      <c r="BE212" s="6"/>
      <c r="BF212" s="7"/>
      <c r="BG212" s="3"/>
      <c r="BH212" s="5"/>
      <c r="BI212" s="6"/>
      <c r="BJ212" s="7"/>
      <c r="BK212" s="3"/>
      <c r="BL212" s="5"/>
      <c r="BM212" s="6"/>
      <c r="BN212" s="7"/>
      <c r="BO212" s="2"/>
      <c r="BP212" s="2"/>
      <c r="BQ212" s="2"/>
      <c r="BR212" s="2"/>
    </row>
    <row r="213" spans="2:70" ht="18.75" customHeight="1" x14ac:dyDescent="0.25">
      <c r="B213" s="8" t="s">
        <v>717</v>
      </c>
      <c r="C213" s="3" t="s">
        <v>718</v>
      </c>
      <c r="D213" s="3" t="s">
        <v>549</v>
      </c>
      <c r="E213" s="5" t="s">
        <v>719</v>
      </c>
      <c r="F213" s="5" t="s">
        <v>118</v>
      </c>
      <c r="G213" s="6" t="str">
        <f ca="1">IFERROR(__xludf.DUMMYFUNCTION("GOOGLETRANSLATE(B213,""ja"",""ko"")"),"푸른 김나무 매운 토마토 마질 부카케 우동")</f>
        <v>푸른 김나무 매운 토마토 마질 부카케 우동</v>
      </c>
      <c r="H213" s="6"/>
      <c r="I213" s="7" t="str">
        <f ca="1">IFERROR(__xludf.DUMMYFUNCTION("GOOGLETRANSLATE(B213,""ja"",""zh"")"),"Aonori 中辣番茄辣颜射乌冬面")</f>
        <v>Aonori 中辣番茄辣颜射乌冬面</v>
      </c>
      <c r="J213" s="7"/>
      <c r="K213" s="3" t="s">
        <v>720</v>
      </c>
      <c r="L213" s="3" t="s">
        <v>549</v>
      </c>
      <c r="M213" s="5" t="s">
        <v>719</v>
      </c>
      <c r="N213" s="5" t="s">
        <v>118</v>
      </c>
      <c r="O213" s="6" t="str">
        <f ca="1">IFERROR(__xludf.DUMMYFUNCTION("GOOGLETRANSLATE(B213,""ja"",""ko"")"),"푸른 김나무 매운 토마토 마질 부카케 우동")</f>
        <v>푸른 김나무 매운 토마토 마질 부카케 우동</v>
      </c>
      <c r="P213" s="6"/>
      <c r="Q213" s="7" t="str">
        <f ca="1">IFERROR(__xludf.DUMMYFUNCTION("GOOGLETRANSLATE(B213,""ja"",""zh"")"),"Aonori 中辣番茄辣颜射乌冬面")</f>
        <v>Aonori 中辣番茄辣颜射乌冬面</v>
      </c>
      <c r="R213" s="7"/>
      <c r="S213" s="3" t="s">
        <v>718</v>
      </c>
      <c r="T213" s="5" t="str">
        <f ca="1">IFERROR(__xludf.DUMMYFUNCTION("GOOGLETRANSLATE(S213,""ja"",""en"")"),"Aonori medium spicy tomato spicy")</f>
        <v>Aonori medium spicy tomato spicy</v>
      </c>
      <c r="U213" s="6" t="str">
        <f ca="1">IFERROR(__xludf.DUMMYFUNCTION("GOOGLETRANSLATE(S213,""ja"",""ko"")"),"푸른 매운 토마토 마마")</f>
        <v>푸른 매운 토마토 마마</v>
      </c>
      <c r="V213" s="7" t="str">
        <f ca="1">IFERROR(__xludf.DUMMYFUNCTION("GOOGLETRANSLATE(S213,""ja"",""zh"")"),"青海 中辣 番茄辣")</f>
        <v>青海 中辣 番茄辣</v>
      </c>
      <c r="W213" s="3"/>
      <c r="X213" s="5"/>
      <c r="Y213" s="6"/>
      <c r="Z213" s="7"/>
      <c r="AA213" s="3"/>
      <c r="AB213" s="5"/>
      <c r="AC213" s="6"/>
      <c r="AD213" s="7"/>
      <c r="AE213" s="3"/>
      <c r="AF213" s="5"/>
      <c r="AG213" s="6"/>
      <c r="AH213" s="7"/>
      <c r="AI213" s="2"/>
      <c r="AJ213" s="2"/>
      <c r="AK213" s="2"/>
      <c r="AL213" s="2"/>
      <c r="AM213" s="3"/>
      <c r="AN213" s="5"/>
      <c r="AO213" s="6"/>
      <c r="AP213" s="7"/>
      <c r="AQ213" s="3"/>
      <c r="AR213" s="5"/>
      <c r="AS213" s="6"/>
      <c r="AT213" s="7"/>
      <c r="AU213" s="3"/>
      <c r="AV213" s="5"/>
      <c r="AW213" s="6"/>
      <c r="AX213" s="7"/>
      <c r="AY213" s="2"/>
      <c r="AZ213" s="2"/>
      <c r="BA213" s="2"/>
      <c r="BB213" s="2"/>
      <c r="BC213" s="3"/>
      <c r="BD213" s="5"/>
      <c r="BE213" s="6"/>
      <c r="BF213" s="7"/>
      <c r="BG213" s="3"/>
      <c r="BH213" s="5"/>
      <c r="BI213" s="6"/>
      <c r="BJ213" s="7"/>
      <c r="BK213" s="3"/>
      <c r="BL213" s="5"/>
      <c r="BM213" s="6"/>
      <c r="BN213" s="7"/>
      <c r="BO213" s="2"/>
      <c r="BP213" s="2"/>
      <c r="BQ213" s="2"/>
      <c r="BR213" s="2"/>
    </row>
    <row r="214" spans="2:70" ht="18.75" customHeight="1" x14ac:dyDescent="0.25">
      <c r="B214" s="8" t="s">
        <v>721</v>
      </c>
      <c r="C214" s="3" t="s">
        <v>722</v>
      </c>
      <c r="D214" s="3" t="s">
        <v>549</v>
      </c>
      <c r="E214" s="5" t="s">
        <v>723</v>
      </c>
      <c r="F214" s="5" t="s">
        <v>705</v>
      </c>
      <c r="G214" s="6" t="str">
        <f ca="1">IFERROR(__xludf.DUMMYFUNCTION("GOOGLETRANSLATE(B214,""ja"",""ko"")"),"푸른 김 볶은 토마토 마마 부카케 우동")</f>
        <v>푸른 김 볶은 토마토 마마 부카케 우동</v>
      </c>
      <c r="H214" s="6"/>
      <c r="I214" s="7" t="str">
        <f ca="1">IFERROR(__xludf.DUMMYFUNCTION("GOOGLETRANSLATE(B214,""ja"",""zh"")"),"辣绿色海藻番茄颜射乌冬面")</f>
        <v>辣绿色海藻番茄颜射乌冬面</v>
      </c>
      <c r="J214" s="7"/>
      <c r="K214" s="3" t="s">
        <v>724</v>
      </c>
      <c r="L214" s="3" t="s">
        <v>549</v>
      </c>
      <c r="M214" s="5" t="s">
        <v>723</v>
      </c>
      <c r="N214" s="5" t="s">
        <v>705</v>
      </c>
      <c r="O214" s="6" t="str">
        <f ca="1">IFERROR(__xludf.DUMMYFUNCTION("GOOGLETRANSLATE(B214,""ja"",""ko"")"),"푸른 김 볶은 토마토 마마 부카케 우동")</f>
        <v>푸른 김 볶은 토마토 마마 부카케 우동</v>
      </c>
      <c r="P214" s="6"/>
      <c r="Q214" s="7" t="str">
        <f ca="1">IFERROR(__xludf.DUMMYFUNCTION("GOOGLETRANSLATE(B214,""ja"",""zh"")"),"辣绿色海藻番茄颜射乌冬面")</f>
        <v>辣绿色海藻番茄颜射乌冬面</v>
      </c>
      <c r="R214" s="7"/>
      <c r="S214" s="3" t="s">
        <v>722</v>
      </c>
      <c r="T214" s="5" t="str">
        <f ca="1">IFERROR(__xludf.DUMMYFUNCTION("GOOGLETRANSLATE(S214,""ja"",""en"")"),"Aonori spicy tomato spicy")</f>
        <v>Aonori spicy tomato spicy</v>
      </c>
      <c r="U214" s="6" t="str">
        <f ca="1">IFERROR(__xludf.DUMMYFUNCTION("GOOGLETRANSLATE(S214,""ja"",""ko"")"),"푸른 김 대마 토마토 마마")</f>
        <v>푸른 김 대마 토마토 마마</v>
      </c>
      <c r="V214" s="7" t="str">
        <f ca="1">IFERROR(__xludf.DUMMYFUNCTION("GOOGLETRANSLATE(S214,""ja"",""zh"")"),"青海辣 番茄辣")</f>
        <v>青海辣 番茄辣</v>
      </c>
      <c r="W214" s="3"/>
      <c r="X214" s="5"/>
      <c r="Y214" s="6"/>
      <c r="Z214" s="7"/>
      <c r="AA214" s="3"/>
      <c r="AB214" s="5"/>
      <c r="AC214" s="6"/>
      <c r="AD214" s="7"/>
      <c r="AE214" s="3"/>
      <c r="AF214" s="5"/>
      <c r="AG214" s="6"/>
      <c r="AH214" s="7"/>
      <c r="AI214" s="2"/>
      <c r="AJ214" s="2"/>
      <c r="AK214" s="2"/>
      <c r="AL214" s="2"/>
      <c r="AM214" s="3"/>
      <c r="AN214" s="5"/>
      <c r="AO214" s="6"/>
      <c r="AP214" s="7"/>
      <c r="AQ214" s="3"/>
      <c r="AR214" s="5"/>
      <c r="AS214" s="6"/>
      <c r="AT214" s="7"/>
      <c r="AU214" s="3"/>
      <c r="AV214" s="5"/>
      <c r="AW214" s="6"/>
      <c r="AX214" s="7"/>
      <c r="AY214" s="2"/>
      <c r="AZ214" s="2"/>
      <c r="BA214" s="2"/>
      <c r="BB214" s="2"/>
      <c r="BC214" s="3"/>
      <c r="BD214" s="5"/>
      <c r="BE214" s="6"/>
      <c r="BF214" s="7"/>
      <c r="BG214" s="3"/>
      <c r="BH214" s="5"/>
      <c r="BI214" s="6"/>
      <c r="BJ214" s="7"/>
      <c r="BK214" s="3"/>
      <c r="BL214" s="5"/>
      <c r="BM214" s="6"/>
      <c r="BN214" s="7"/>
      <c r="BO214" s="2"/>
      <c r="BP214" s="2"/>
      <c r="BQ214" s="2"/>
      <c r="BR214" s="2"/>
    </row>
    <row r="215" spans="2:70" ht="18.75" customHeight="1" x14ac:dyDescent="0.25">
      <c r="B215" s="8" t="s">
        <v>725</v>
      </c>
      <c r="C215" s="3" t="s">
        <v>726</v>
      </c>
      <c r="D215" s="3" t="s">
        <v>549</v>
      </c>
      <c r="E215" s="5" t="s">
        <v>727</v>
      </c>
      <c r="F215" s="5" t="s">
        <v>709</v>
      </c>
      <c r="G215" s="6" t="str">
        <f ca="1">IFERROR(__xludf.DUMMYFUNCTION("GOOGLETRANSLATE(B215,""ja"",""ko"")"),"블루 노리 악마 토마토 마마 부카케 우동")</f>
        <v>블루 노리 악마 토마토 마마 부카케 우동</v>
      </c>
      <c r="H215" s="6"/>
      <c r="I215" s="7" t="str">
        <f ca="1">IFERROR(__xludf.DUMMYFUNCTION("GOOGLETRANSLATE(B215,""ja"",""zh"")"),"青海辣番茄辣颜射乌冬面")</f>
        <v>青海辣番茄辣颜射乌冬面</v>
      </c>
      <c r="J215" s="7"/>
      <c r="K215" s="3" t="s">
        <v>728</v>
      </c>
      <c r="L215" s="3" t="s">
        <v>549</v>
      </c>
      <c r="M215" s="5" t="s">
        <v>727</v>
      </c>
      <c r="N215" s="5" t="s">
        <v>709</v>
      </c>
      <c r="O215" s="6" t="str">
        <f ca="1">IFERROR(__xludf.DUMMYFUNCTION("GOOGLETRANSLATE(B215,""ja"",""ko"")"),"블루 노리 악마 토마토 마마 부카케 우동")</f>
        <v>블루 노리 악마 토마토 마마 부카케 우동</v>
      </c>
      <c r="P215" s="6"/>
      <c r="Q215" s="7" t="str">
        <f ca="1">IFERROR(__xludf.DUMMYFUNCTION("GOOGLETRANSLATE(B215,""ja"",""zh"")"),"青海辣番茄辣颜射乌冬面")</f>
        <v>青海辣番茄辣颜射乌冬面</v>
      </c>
      <c r="R215" s="7"/>
      <c r="S215" s="3" t="s">
        <v>726</v>
      </c>
      <c r="T215" s="5" t="str">
        <f ca="1">IFERROR(__xludf.DUMMYFUNCTION("GOOGLETRANSLATE(S215,""ja"",""en"")"),"Green seaweed spicy tomato spicy")</f>
        <v>Green seaweed spicy tomato spicy</v>
      </c>
      <c r="U215" s="6" t="str">
        <f ca="1">IFERROR(__xludf.DUMMYFUNCTION("GOOGLETRANSLATE(S215,""ja"",""ko"")"),"블루 노리 악마 토마토 마마")</f>
        <v>블루 노리 악마 토마토 마마</v>
      </c>
      <c r="V215" s="7" t="str">
        <f ca="1">IFERROR(__xludf.DUMMYFUNCTION("GOOGLETRANSLATE(S215,""ja"",""zh"")"),"青海苔辣 番茄辣")</f>
        <v>青海苔辣 番茄辣</v>
      </c>
      <c r="W215" s="3"/>
      <c r="X215" s="5"/>
      <c r="Y215" s="6"/>
      <c r="Z215" s="7"/>
      <c r="AA215" s="3"/>
      <c r="AB215" s="5"/>
      <c r="AC215" s="6"/>
      <c r="AD215" s="7"/>
      <c r="AE215" s="3"/>
      <c r="AF215" s="5"/>
      <c r="AG215" s="6"/>
      <c r="AH215" s="7"/>
      <c r="AI215" s="2"/>
      <c r="AJ215" s="2"/>
      <c r="AK215" s="2"/>
      <c r="AL215" s="2"/>
      <c r="AM215" s="3"/>
      <c r="AN215" s="5"/>
      <c r="AO215" s="6"/>
      <c r="AP215" s="7"/>
      <c r="AQ215" s="3"/>
      <c r="AR215" s="5"/>
      <c r="AS215" s="6"/>
      <c r="AT215" s="7"/>
      <c r="AU215" s="3"/>
      <c r="AV215" s="5"/>
      <c r="AW215" s="6"/>
      <c r="AX215" s="7"/>
      <c r="AY215" s="2"/>
      <c r="AZ215" s="2"/>
      <c r="BA215" s="2"/>
      <c r="BB215" s="2"/>
      <c r="BC215" s="3"/>
      <c r="BD215" s="5"/>
      <c r="BE215" s="6"/>
      <c r="BF215" s="7"/>
      <c r="BG215" s="3"/>
      <c r="BH215" s="5"/>
      <c r="BI215" s="6"/>
      <c r="BJ215" s="7"/>
      <c r="BK215" s="3"/>
      <c r="BL215" s="5"/>
      <c r="BM215" s="6"/>
      <c r="BN215" s="7"/>
      <c r="BO215" s="2"/>
      <c r="BP215" s="2"/>
      <c r="BQ215" s="2"/>
      <c r="BR215" s="2"/>
    </row>
    <row r="216" spans="2:70" ht="18.75" customHeight="1" x14ac:dyDescent="0.25">
      <c r="B216" s="8" t="s">
        <v>729</v>
      </c>
      <c r="C216" s="3" t="s">
        <v>730</v>
      </c>
      <c r="D216" s="3" t="s">
        <v>731</v>
      </c>
      <c r="E216" s="5" t="s">
        <v>732</v>
      </c>
      <c r="F216" s="5" t="s">
        <v>733</v>
      </c>
      <c r="G216" s="6" t="str">
        <f ca="1">IFERROR(__xludf.DUMMYFUNCTION("GOOGLETRANSLATE(B216,""ja"",""ko"")"),"추가 특제 향신료")</f>
        <v>추가 특제 향신료</v>
      </c>
      <c r="H216" s="6"/>
      <c r="I216" s="7" t="str">
        <f ca="1">IFERROR(__xludf.DUMMYFUNCTION("GOOGLETRANSLATE(B216,""ja"",""zh"")"),"额外的特殊香料")</f>
        <v>额外的特殊香料</v>
      </c>
      <c r="J216" s="7"/>
      <c r="K216" s="3" t="s">
        <v>730</v>
      </c>
      <c r="L216" s="3" t="s">
        <v>731</v>
      </c>
      <c r="M216" s="5" t="s">
        <v>732</v>
      </c>
      <c r="N216" s="5" t="s">
        <v>733</v>
      </c>
      <c r="O216" s="6" t="str">
        <f ca="1">IFERROR(__xludf.DUMMYFUNCTION("GOOGLETRANSLATE(B216,""ja"",""ko"")"),"추가 특제 향신료")</f>
        <v>추가 특제 향신료</v>
      </c>
      <c r="P216" s="6"/>
      <c r="Q216" s="7" t="str">
        <f ca="1">IFERROR(__xludf.DUMMYFUNCTION("GOOGLETRANSLATE(B216,""ja"",""zh"")"),"额外的特殊香料")</f>
        <v>额外的特殊香料</v>
      </c>
      <c r="R216" s="7"/>
      <c r="S216" s="3" t="s">
        <v>734</v>
      </c>
      <c r="T216" s="5" t="str">
        <f ca="1">IFERROR(__xludf.DUMMYFUNCTION("GOOGLETRANSLATE(S216,""ja"",""en"")"),"Added special delicious spicy spa")</f>
        <v>Added special delicious spicy spa</v>
      </c>
      <c r="U216" s="6" t="str">
        <f ca="1">IFERROR(__xludf.DUMMYFUNCTION("GOOGLETRANSLATE(S216,""ja"",""ko"")"),"추가 특제 우마신 스파")</f>
        <v>추가 특제 우마신 스파</v>
      </c>
      <c r="V216" s="7" t="str">
        <f ca="1">IFERROR(__xludf.DUMMYFUNCTION("GOOGLETRANSLATE(S216,""ja"",""zh"")"),"添加了特别美味的麻辣温泉")</f>
        <v>添加了特别美味的麻辣温泉</v>
      </c>
      <c r="W216" s="3"/>
      <c r="X216" s="5"/>
      <c r="Y216" s="6"/>
      <c r="Z216" s="7"/>
      <c r="AA216" s="3"/>
      <c r="AB216" s="5"/>
      <c r="AC216" s="6"/>
      <c r="AD216" s="7"/>
      <c r="AE216" s="3"/>
      <c r="AF216" s="5"/>
      <c r="AG216" s="6"/>
      <c r="AH216" s="7"/>
      <c r="AI216" s="2"/>
      <c r="AJ216" s="2"/>
      <c r="AK216" s="2"/>
      <c r="AL216" s="2"/>
      <c r="AM216" s="3"/>
      <c r="AN216" s="5"/>
      <c r="AO216" s="6"/>
      <c r="AP216" s="7"/>
      <c r="AQ216" s="3"/>
      <c r="AR216" s="5"/>
      <c r="AS216" s="6"/>
      <c r="AT216" s="7"/>
      <c r="AU216" s="3"/>
      <c r="AV216" s="5"/>
      <c r="AW216" s="6"/>
      <c r="AX216" s="7"/>
      <c r="AY216" s="2"/>
      <c r="AZ216" s="2"/>
      <c r="BA216" s="2"/>
      <c r="BB216" s="2"/>
      <c r="BC216" s="3"/>
      <c r="BD216" s="5"/>
      <c r="BE216" s="6"/>
      <c r="BF216" s="7"/>
      <c r="BG216" s="3"/>
      <c r="BH216" s="5"/>
      <c r="BI216" s="6"/>
      <c r="BJ216" s="7"/>
      <c r="BK216" s="3"/>
      <c r="BL216" s="5"/>
      <c r="BM216" s="6"/>
      <c r="BN216" s="7"/>
      <c r="BO216" s="2"/>
      <c r="BP216" s="2"/>
      <c r="BQ216" s="2"/>
      <c r="BR216" s="2"/>
    </row>
    <row r="217" spans="2:70" ht="18.75" customHeight="1" x14ac:dyDescent="0.25">
      <c r="B217" s="8" t="s">
        <v>735</v>
      </c>
      <c r="C217" s="3" t="s">
        <v>736</v>
      </c>
      <c r="D217" s="3" t="s">
        <v>731</v>
      </c>
      <c r="E217" s="5" t="s">
        <v>732</v>
      </c>
      <c r="F217" s="5" t="s">
        <v>733</v>
      </c>
      <c r="G217" s="6" t="str">
        <f ca="1">IFERROR(__xludf.DUMMYFUNCTION("GOOGLETRANSLATE(B217,""ja"",""ko"")"),"추가 특제 향신료")</f>
        <v>추가 특제 향신료</v>
      </c>
      <c r="H217" s="6"/>
      <c r="I217" s="7" t="str">
        <f ca="1">IFERROR(__xludf.DUMMYFUNCTION("GOOGLETRANSLATE(B217,""ja"",""zh"")"),"额外的特殊香料")</f>
        <v>额外的特殊香料</v>
      </c>
      <c r="J217" s="7"/>
      <c r="K217" s="3" t="s">
        <v>736</v>
      </c>
      <c r="L217" s="3" t="s">
        <v>731</v>
      </c>
      <c r="M217" s="5" t="s">
        <v>732</v>
      </c>
      <c r="N217" s="5" t="s">
        <v>733</v>
      </c>
      <c r="O217" s="6" t="str">
        <f ca="1">IFERROR(__xludf.DUMMYFUNCTION("GOOGLETRANSLATE(B217,""ja"",""ko"")"),"추가 특제 향신료")</f>
        <v>추가 특제 향신료</v>
      </c>
      <c r="P217" s="6"/>
      <c r="Q217" s="7" t="str">
        <f ca="1">IFERROR(__xludf.DUMMYFUNCTION("GOOGLETRANSLATE(B217,""ja"",""zh"")"),"额外的特殊香料")</f>
        <v>额外的特殊香料</v>
      </c>
      <c r="R217" s="7"/>
      <c r="S217" s="3" t="s">
        <v>737</v>
      </c>
      <c r="T217" s="5" t="str">
        <f ca="1">IFERROR(__xludf.DUMMYFUNCTION("GOOGLETRANSLATE(S217,""ja"",""en"")"),"Additional special spicy spices")</f>
        <v>Additional special spicy spices</v>
      </c>
      <c r="U217" s="6" t="str">
        <f ca="1">IFERROR(__xludf.DUMMYFUNCTION("GOOGLETRANSLATE(S217,""ja"",""ko"")"),"추가 특제 우마신 스파이")</f>
        <v>추가 특제 우마신 스파이</v>
      </c>
      <c r="V217" s="7" t="str">
        <f ca="1">IFERROR(__xludf.DUMMYFUNCTION("GOOGLETRANSLATE(S217,""ja"",""zh"")"),"额外添加特殊辛辣香料")</f>
        <v>额外添加特殊辛辣香料</v>
      </c>
      <c r="W217" s="3"/>
      <c r="X217" s="5"/>
      <c r="Y217" s="6"/>
      <c r="Z217" s="7"/>
      <c r="AA217" s="3"/>
      <c r="AB217" s="5"/>
      <c r="AC217" s="6"/>
      <c r="AD217" s="7"/>
      <c r="AE217" s="3"/>
      <c r="AF217" s="5"/>
      <c r="AG217" s="6"/>
      <c r="AH217" s="7"/>
      <c r="AI217" s="2"/>
      <c r="AJ217" s="2"/>
      <c r="AK217" s="2"/>
      <c r="AL217" s="2"/>
      <c r="AM217" s="3"/>
      <c r="AN217" s="5"/>
      <c r="AO217" s="6"/>
      <c r="AP217" s="7"/>
      <c r="AQ217" s="3"/>
      <c r="AR217" s="5"/>
      <c r="AS217" s="6"/>
      <c r="AT217" s="7"/>
      <c r="AU217" s="3"/>
      <c r="AV217" s="5"/>
      <c r="AW217" s="6"/>
      <c r="AX217" s="7"/>
      <c r="AY217" s="2"/>
      <c r="AZ217" s="2"/>
      <c r="BA217" s="2"/>
      <c r="BB217" s="2"/>
      <c r="BC217" s="3"/>
      <c r="BD217" s="5"/>
      <c r="BE217" s="6"/>
      <c r="BF217" s="7"/>
      <c r="BG217" s="3"/>
      <c r="BH217" s="5"/>
      <c r="BI217" s="6"/>
      <c r="BJ217" s="7"/>
      <c r="BK217" s="3"/>
      <c r="BL217" s="5"/>
      <c r="BM217" s="6"/>
      <c r="BN217" s="7"/>
      <c r="BO217" s="2"/>
      <c r="BP217" s="2"/>
      <c r="BQ217" s="2"/>
      <c r="BR217" s="2"/>
    </row>
    <row r="218" spans="2:70" ht="18.75" customHeight="1" x14ac:dyDescent="0.25">
      <c r="B218" s="8" t="s">
        <v>738</v>
      </c>
      <c r="C218" s="3" t="s">
        <v>739</v>
      </c>
      <c r="D218" s="3" t="s">
        <v>740</v>
      </c>
      <c r="E218" s="5" t="s">
        <v>741</v>
      </c>
      <c r="F218" s="5"/>
      <c r="G218" s="6" t="str">
        <f ca="1">IFERROR(__xludf.DUMMYFUNCTION("GOOGLETRANSLATE(B218,""ja"",""ko"")"),"극태 매실 시소 토로로 다시마 차가운 우도")</f>
        <v>극태 매실 시소 토로로 다시마 차가운 우도</v>
      </c>
      <c r="H218" s="6"/>
      <c r="I218" s="7" t="str">
        <f ca="1">IFERROR(__xludf.DUMMYFUNCTION("GOOGLETRANSLATE(B218,""ja"",""zh"")"),"特厚梅紫苏海带冷乌冬面")</f>
        <v>特厚梅紫苏海带冷乌冬面</v>
      </c>
      <c r="J218" s="7"/>
      <c r="K218" s="3" t="s">
        <v>739</v>
      </c>
      <c r="L218" s="3" t="s">
        <v>740</v>
      </c>
      <c r="M218" s="5" t="s">
        <v>741</v>
      </c>
      <c r="N218" s="5"/>
      <c r="O218" s="6" t="str">
        <f ca="1">IFERROR(__xludf.DUMMYFUNCTION("GOOGLETRANSLATE(B218,""ja"",""ko"")"),"극태 매실 시소 토로로 다시마 차가운 우도")</f>
        <v>극태 매실 시소 토로로 다시마 차가운 우도</v>
      </c>
      <c r="P218" s="6"/>
      <c r="Q218" s="7" t="str">
        <f ca="1">IFERROR(__xludf.DUMMYFUNCTION("GOOGLETRANSLATE(B218,""ja"",""zh"")"),"特厚梅紫苏海带冷乌冬面")</f>
        <v>特厚梅紫苏海带冷乌冬面</v>
      </c>
      <c r="R218" s="7"/>
      <c r="S218" s="3" t="s">
        <v>742</v>
      </c>
      <c r="T218" s="5" t="str">
        <f ca="1">IFERROR(__xludf.DUMMYFUNCTION("GOOGLETRANSLATE(S218,""ja"",""en"")"),"Extra thick plum and yam kelp cold")</f>
        <v>Extra thick plum and yam kelp cold</v>
      </c>
      <c r="U218" s="6" t="str">
        <f ca="1">IFERROR(__xludf.DUMMYFUNCTION("GOOGLETRANSLATE(S218,""ja"",""ko"")"),"극단 매화와 로로 다시마 차가운")</f>
        <v>극단 매화와 로로 다시마 차가운</v>
      </c>
      <c r="V218" s="7" t="str">
        <f ca="1">IFERROR(__xludf.DUMMYFUNCTION("GOOGLETRANSLATE(S218,""ja"",""zh"")"),"特厚话梅山药海带凉")</f>
        <v>特厚话梅山药海带凉</v>
      </c>
      <c r="W218" s="3"/>
      <c r="X218" s="5"/>
      <c r="Y218" s="6"/>
      <c r="Z218" s="7"/>
      <c r="AA218" s="3"/>
      <c r="AB218" s="5"/>
      <c r="AC218" s="6"/>
      <c r="AD218" s="7"/>
      <c r="AE218" s="3"/>
      <c r="AF218" s="5"/>
      <c r="AG218" s="6"/>
      <c r="AH218" s="7"/>
      <c r="AI218" s="2"/>
      <c r="AJ218" s="2"/>
      <c r="AK218" s="2"/>
      <c r="AL218" s="2"/>
      <c r="AM218" s="3"/>
      <c r="AN218" s="5"/>
      <c r="AO218" s="6"/>
      <c r="AP218" s="7"/>
      <c r="AQ218" s="3"/>
      <c r="AR218" s="5"/>
      <c r="AS218" s="6"/>
      <c r="AT218" s="7"/>
      <c r="AU218" s="3"/>
      <c r="AV218" s="5"/>
      <c r="AW218" s="6"/>
      <c r="AX218" s="7"/>
      <c r="AY218" s="2"/>
      <c r="AZ218" s="2"/>
      <c r="BA218" s="2"/>
      <c r="BB218" s="2"/>
      <c r="BC218" s="3"/>
      <c r="BD218" s="5"/>
      <c r="BE218" s="6"/>
      <c r="BF218" s="7"/>
      <c r="BG218" s="3"/>
      <c r="BH218" s="5"/>
      <c r="BI218" s="6"/>
      <c r="BJ218" s="7"/>
      <c r="BK218" s="3"/>
      <c r="BL218" s="5"/>
      <c r="BM218" s="6"/>
      <c r="BN218" s="7"/>
      <c r="BO218" s="2"/>
      <c r="BP218" s="2"/>
      <c r="BQ218" s="2"/>
      <c r="BR218" s="2"/>
    </row>
    <row r="219" spans="2:70" ht="18.75" customHeight="1" x14ac:dyDescent="0.25">
      <c r="B219" s="8" t="s">
        <v>743</v>
      </c>
      <c r="C219" s="3" t="s">
        <v>744</v>
      </c>
      <c r="D219" s="3" t="s">
        <v>740</v>
      </c>
      <c r="E219" s="5" t="s">
        <v>741</v>
      </c>
      <c r="F219" s="5"/>
      <c r="G219" s="6" t="str">
        <f ca="1">IFERROR(__xludf.DUMMYFUNCTION("GOOGLETRANSLATE(B219,""ja"",""ko"")"),"푸른 매실과 로로 다시마 차가운 우도")</f>
        <v>푸른 매실과 로로 다시마 차가운 우도</v>
      </c>
      <c r="H219" s="6"/>
      <c r="I219" s="7" t="str">
        <f ca="1">IFERROR(__xludf.DUMMYFUNCTION("GOOGLETRANSLATE(B219,""ja"",""zh"")"),"青海苔梅山药海带冷乌冬")</f>
        <v>青海苔梅山药海带冷乌冬</v>
      </c>
      <c r="J219" s="7"/>
      <c r="K219" s="3" t="s">
        <v>745</v>
      </c>
      <c r="L219" s="3" t="s">
        <v>740</v>
      </c>
      <c r="M219" s="5" t="s">
        <v>741</v>
      </c>
      <c r="N219" s="5"/>
      <c r="O219" s="6" t="str">
        <f ca="1">IFERROR(__xludf.DUMMYFUNCTION("GOOGLETRANSLATE(B219,""ja"",""ko"")"),"푸른 매실과 로로 다시마 차가운 우도")</f>
        <v>푸른 매실과 로로 다시마 차가운 우도</v>
      </c>
      <c r="P219" s="6"/>
      <c r="Q219" s="7" t="str">
        <f ca="1">IFERROR(__xludf.DUMMYFUNCTION("GOOGLETRANSLATE(B219,""ja"",""zh"")"),"青海苔梅山药海带冷乌冬")</f>
        <v>青海苔梅山药海带冷乌冬</v>
      </c>
      <c r="R219" s="7"/>
      <c r="S219" s="3" t="s">
        <v>746</v>
      </c>
      <c r="T219" s="5" t="str">
        <f ca="1">IFERROR(__xludf.DUMMYFUNCTION("GOOGLETRANSLATE(S219,""ja"",""en"")"),"Cold green seaweed plum and melted kelp")</f>
        <v>Cold green seaweed plum and melted kelp</v>
      </c>
      <c r="U219" s="6" t="str">
        <f ca="1">IFERROR(__xludf.DUMMYFUNCTION("GOOGLETRANSLATE(S219,""ja"",""ko"")"),"푸른 노리 매화와 로로 다시마 차가운")</f>
        <v>푸른 노리 매화와 로로 다시마 차가운</v>
      </c>
      <c r="V219" s="7" t="str">
        <f ca="1">IFERROR(__xludf.DUMMYFUNCTION("GOOGLETRANSLATE(S219,""ja"",""zh"")"),"冷绿海藻李子和融化的海带")</f>
        <v>冷绿海藻李子和融化的海带</v>
      </c>
      <c r="W219" s="3"/>
      <c r="X219" s="5"/>
      <c r="Y219" s="6"/>
      <c r="Z219" s="7"/>
      <c r="AA219" s="3"/>
      <c r="AB219" s="5"/>
      <c r="AC219" s="6"/>
      <c r="AD219" s="7"/>
      <c r="AE219" s="3"/>
      <c r="AF219" s="5"/>
      <c r="AG219" s="6"/>
      <c r="AH219" s="7"/>
      <c r="AI219" s="2"/>
      <c r="AJ219" s="2"/>
      <c r="AK219" s="2"/>
      <c r="AL219" s="2"/>
      <c r="AM219" s="3"/>
      <c r="AN219" s="5"/>
      <c r="AO219" s="6"/>
      <c r="AP219" s="7"/>
      <c r="AQ219" s="3"/>
      <c r="AR219" s="5"/>
      <c r="AS219" s="6"/>
      <c r="AT219" s="7"/>
      <c r="AU219" s="3"/>
      <c r="AV219" s="5"/>
      <c r="AW219" s="6"/>
      <c r="AX219" s="7"/>
      <c r="AY219" s="2"/>
      <c r="AZ219" s="2"/>
      <c r="BA219" s="2"/>
      <c r="BB219" s="2"/>
      <c r="BC219" s="3"/>
      <c r="BD219" s="5"/>
      <c r="BE219" s="6"/>
      <c r="BF219" s="7"/>
      <c r="BG219" s="3"/>
      <c r="BH219" s="5"/>
      <c r="BI219" s="6"/>
      <c r="BJ219" s="7"/>
      <c r="BK219" s="3"/>
      <c r="BL219" s="5"/>
      <c r="BM219" s="6"/>
      <c r="BN219" s="7"/>
      <c r="BO219" s="2"/>
      <c r="BP219" s="2"/>
      <c r="BQ219" s="2"/>
      <c r="BR219" s="2"/>
    </row>
    <row r="220" spans="2:70" ht="18.75" customHeight="1" x14ac:dyDescent="0.25">
      <c r="B220" s="8" t="s">
        <v>747</v>
      </c>
      <c r="C220" s="3" t="s">
        <v>676</v>
      </c>
      <c r="D220" s="3"/>
      <c r="E220" s="5" t="s">
        <v>677</v>
      </c>
      <c r="F220" s="5" t="s">
        <v>436</v>
      </c>
      <c r="G220" s="6" t="str">
        <f ca="1">IFERROR(__xludf.DUMMYFUNCTION("GOOGLETRANSLATE(B220,""ja"",""ko"")"),"아스파라 베이컨 천국")</f>
        <v>아스파라 베이컨 천국</v>
      </c>
      <c r="H220" s="6"/>
      <c r="I220" s="7" t="str">
        <f ca="1">IFERROR(__xludf.DUMMYFUNCTION("GOOGLETRANSLATE(B220,""ja"",""zh"")"),"芦笋培根天妇罗")</f>
        <v>芦笋培根天妇罗</v>
      </c>
      <c r="J220" s="7"/>
      <c r="K220" s="3" t="s">
        <v>676</v>
      </c>
      <c r="L220" s="3"/>
      <c r="M220" s="5" t="s">
        <v>677</v>
      </c>
      <c r="N220" s="5" t="s">
        <v>436</v>
      </c>
      <c r="O220" s="6" t="str">
        <f ca="1">IFERROR(__xludf.DUMMYFUNCTION("GOOGLETRANSLATE(B220,""ja"",""ko"")"),"아스파라 베이컨 천국")</f>
        <v>아스파라 베이컨 천국</v>
      </c>
      <c r="P220" s="6"/>
      <c r="Q220" s="7" t="str">
        <f ca="1">IFERROR(__xludf.DUMMYFUNCTION("GOOGLETRANSLATE(B220,""ja"",""zh"")"),"芦笋培根天妇罗")</f>
        <v>芦笋培根天妇罗</v>
      </c>
      <c r="R220" s="7"/>
      <c r="S220" s="3" t="s">
        <v>676</v>
      </c>
      <c r="T220" s="5" t="str">
        <f ca="1">IFERROR(__xludf.DUMMYFUNCTION("GOOGLETRANSLATE(S220,""ja"",""en"")"),"Asparagus bacon tempura")</f>
        <v>Asparagus bacon tempura</v>
      </c>
      <c r="U220" s="6" t="str">
        <f ca="1">IFERROR(__xludf.DUMMYFUNCTION("GOOGLETRANSLATE(S220,""ja"",""ko"")"),"아스파라 베이컨 하늘")</f>
        <v>아스파라 베이컨 하늘</v>
      </c>
      <c r="V220" s="7" t="str">
        <f ca="1">IFERROR(__xludf.DUMMYFUNCTION("GOOGLETRANSLATE(S220,""ja"",""zh"")"),"芦笋培根天妇罗")</f>
        <v>芦笋培根天妇罗</v>
      </c>
      <c r="W220" s="3"/>
      <c r="X220" s="5"/>
      <c r="Y220" s="6"/>
      <c r="Z220" s="7"/>
      <c r="AA220" s="3"/>
      <c r="AB220" s="5"/>
      <c r="AC220" s="6"/>
      <c r="AD220" s="7"/>
      <c r="AE220" s="3"/>
      <c r="AF220" s="5"/>
      <c r="AG220" s="6"/>
      <c r="AH220" s="7"/>
      <c r="AI220" s="2"/>
      <c r="AJ220" s="2"/>
      <c r="AK220" s="2"/>
      <c r="AL220" s="2"/>
      <c r="AM220" s="3"/>
      <c r="AN220" s="5"/>
      <c r="AO220" s="6"/>
      <c r="AP220" s="7"/>
      <c r="AQ220" s="3"/>
      <c r="AR220" s="5"/>
      <c r="AS220" s="6"/>
      <c r="AT220" s="7"/>
      <c r="AU220" s="3"/>
      <c r="AV220" s="5"/>
      <c r="AW220" s="6"/>
      <c r="AX220" s="7"/>
      <c r="AY220" s="2"/>
      <c r="AZ220" s="2"/>
      <c r="BA220" s="2"/>
      <c r="BB220" s="2"/>
      <c r="BC220" s="3"/>
      <c r="BD220" s="5"/>
      <c r="BE220" s="6"/>
      <c r="BF220" s="7"/>
      <c r="BG220" s="3"/>
      <c r="BH220" s="5"/>
      <c r="BI220" s="6"/>
      <c r="BJ220" s="7"/>
      <c r="BK220" s="3"/>
      <c r="BL220" s="5"/>
      <c r="BM220" s="6"/>
      <c r="BN220" s="7"/>
      <c r="BO220" s="2"/>
      <c r="BP220" s="2"/>
      <c r="BQ220" s="2"/>
      <c r="BR220" s="2"/>
    </row>
    <row r="221" spans="2:70" ht="18.75" customHeight="1" x14ac:dyDescent="0.25">
      <c r="B221" s="8" t="s">
        <v>748</v>
      </c>
      <c r="C221" s="3" t="s">
        <v>678</v>
      </c>
      <c r="D221" s="3"/>
      <c r="E221" s="5" t="s">
        <v>749</v>
      </c>
      <c r="F221" s="5"/>
      <c r="G221" s="6" t="str">
        <f ca="1">IFERROR(__xludf.DUMMYFUNCTION("GOOGLETRANSLATE(B221,""ja"",""ko"")"),"도모로 코시 텐")</f>
        <v>도모로 코시 텐</v>
      </c>
      <c r="H221" s="6"/>
      <c r="I221" s="7" t="str">
        <f ca="1">IFERROR(__xludf.DUMMYFUNCTION("GOOGLETRANSLATE(B221,""ja"",""zh"")"),"玉米天妇罗")</f>
        <v>玉米天妇罗</v>
      </c>
      <c r="J221" s="7"/>
      <c r="K221" s="3" t="s">
        <v>678</v>
      </c>
      <c r="L221" s="3"/>
      <c r="M221" s="5" t="s">
        <v>749</v>
      </c>
      <c r="N221" s="5"/>
      <c r="O221" s="6" t="str">
        <f ca="1">IFERROR(__xludf.DUMMYFUNCTION("GOOGLETRANSLATE(B221,""ja"",""ko"")"),"도모로 코시 텐")</f>
        <v>도모로 코시 텐</v>
      </c>
      <c r="P221" s="6"/>
      <c r="Q221" s="7" t="str">
        <f ca="1">IFERROR(__xludf.DUMMYFUNCTION("GOOGLETRANSLATE(B221,""ja"",""zh"")"),"玉米天妇罗")</f>
        <v>玉米天妇罗</v>
      </c>
      <c r="R221" s="7"/>
      <c r="S221" s="3" t="s">
        <v>678</v>
      </c>
      <c r="T221" s="5" t="str">
        <f ca="1">IFERROR(__xludf.DUMMYFUNCTION("GOOGLETRANSLATE(S221,""ja"",""en"")"),"Corn tempura")</f>
        <v>Corn tempura</v>
      </c>
      <c r="U221" s="6" t="str">
        <f ca="1">IFERROR(__xludf.DUMMYFUNCTION("GOOGLETRANSLATE(S221,""ja"",""ko"")"),"옥수수 하늘")</f>
        <v>옥수수 하늘</v>
      </c>
      <c r="V221" s="7" t="str">
        <f ca="1">IFERROR(__xludf.DUMMYFUNCTION("GOOGLETRANSLATE(S221,""ja"",""zh"")"),"玉米天妇罗")</f>
        <v>玉米天妇罗</v>
      </c>
      <c r="W221" s="3"/>
      <c r="X221" s="5"/>
      <c r="Y221" s="6"/>
      <c r="Z221" s="7"/>
      <c r="AA221" s="3"/>
      <c r="AB221" s="5"/>
      <c r="AC221" s="6"/>
      <c r="AD221" s="7"/>
      <c r="AE221" s="3"/>
      <c r="AF221" s="5"/>
      <c r="AG221" s="6"/>
      <c r="AH221" s="7"/>
      <c r="AI221" s="2"/>
      <c r="AJ221" s="2"/>
      <c r="AK221" s="2"/>
      <c r="AL221" s="2"/>
      <c r="AM221" s="3"/>
      <c r="AN221" s="5"/>
      <c r="AO221" s="6"/>
      <c r="AP221" s="7"/>
      <c r="AQ221" s="3"/>
      <c r="AR221" s="5"/>
      <c r="AS221" s="6"/>
      <c r="AT221" s="7"/>
      <c r="AU221" s="3"/>
      <c r="AV221" s="5"/>
      <c r="AW221" s="6"/>
      <c r="AX221" s="7"/>
      <c r="AY221" s="2"/>
      <c r="AZ221" s="2"/>
      <c r="BA221" s="2"/>
      <c r="BB221" s="2"/>
      <c r="BC221" s="3"/>
      <c r="BD221" s="5"/>
      <c r="BE221" s="6"/>
      <c r="BF221" s="7"/>
      <c r="BG221" s="3"/>
      <c r="BH221" s="5"/>
      <c r="BI221" s="6"/>
      <c r="BJ221" s="7"/>
      <c r="BK221" s="3"/>
      <c r="BL221" s="5"/>
      <c r="BM221" s="6"/>
      <c r="BN221" s="7"/>
      <c r="BO221" s="2"/>
      <c r="BP221" s="2"/>
      <c r="BQ221" s="2"/>
      <c r="BR221" s="2"/>
    </row>
    <row r="222" spans="2:70" ht="18.75" customHeight="1" x14ac:dyDescent="0.25">
      <c r="B222" s="8" t="s">
        <v>750</v>
      </c>
      <c r="C222" s="3" t="s">
        <v>540</v>
      </c>
      <c r="D222" s="3"/>
      <c r="E222" s="5" t="str">
        <f ca="1">IFERROR(__xludf.DUMMYFUNCTION("GOOGLETRANSLATE(B222,""ja"",""en"")"),"Topping set")</f>
        <v>Topping set</v>
      </c>
      <c r="F222" s="5"/>
      <c r="G222" s="6" t="str">
        <f ca="1">IFERROR(__xludf.DUMMYFUNCTION("GOOGLETRANSLATE(B222,""ja"",""ko"")"),"토핑 세트")</f>
        <v>토핑 세트</v>
      </c>
      <c r="H222" s="6"/>
      <c r="I222" s="7" t="str">
        <f ca="1">IFERROR(__xludf.DUMMYFUNCTION("GOOGLETRANSLATE(B222,""ja"",""zh"")"),"浇头套装")</f>
        <v>浇头套装</v>
      </c>
      <c r="J222" s="7"/>
      <c r="K222" s="3" t="s">
        <v>540</v>
      </c>
      <c r="L222" s="3"/>
      <c r="M222" s="5" t="str">
        <f ca="1">IFERROR(__xludf.DUMMYFUNCTION("GOOGLETRANSLATE(J222,""ja"",""en"")"),"#VALUE!")</f>
        <v>#VALUE!</v>
      </c>
      <c r="N222" s="5"/>
      <c r="O222" s="6" t="str">
        <f ca="1">IFERROR(__xludf.DUMMYFUNCTION("GOOGLETRANSLATE(B222,""ja"",""ko"")"),"토핑 세트")</f>
        <v>토핑 세트</v>
      </c>
      <c r="P222" s="6"/>
      <c r="Q222" s="7" t="str">
        <f ca="1">IFERROR(__xludf.DUMMYFUNCTION("GOOGLETRANSLATE(B222,""ja"",""zh"")"),"浇头套装")</f>
        <v>浇头套装</v>
      </c>
      <c r="R222" s="7"/>
      <c r="S222" s="3" t="s">
        <v>540</v>
      </c>
      <c r="T222" s="5" t="str">
        <f ca="1">IFERROR(__xludf.DUMMYFUNCTION("GOOGLETRANSLATE(S222,""ja"",""en"")"),"topping set")</f>
        <v>topping set</v>
      </c>
      <c r="U222" s="6" t="str">
        <f ca="1">IFERROR(__xludf.DUMMYFUNCTION("GOOGLETRANSLATE(S222,""ja"",""ko"")"),"토핑 세트")</f>
        <v>토핑 세트</v>
      </c>
      <c r="V222" s="7" t="str">
        <f ca="1">IFERROR(__xludf.DUMMYFUNCTION("GOOGLETRANSLATE(S222,""ja"",""zh"")"),"浇头套装")</f>
        <v>浇头套装</v>
      </c>
      <c r="W222" s="3"/>
      <c r="X222" s="5"/>
      <c r="Y222" s="6"/>
      <c r="Z222" s="7"/>
      <c r="AA222" s="3"/>
      <c r="AB222" s="5"/>
      <c r="AC222" s="6"/>
      <c r="AD222" s="7"/>
      <c r="AE222" s="3"/>
      <c r="AF222" s="5"/>
      <c r="AG222" s="6"/>
      <c r="AH222" s="7"/>
      <c r="AI222" s="2"/>
      <c r="AJ222" s="2"/>
      <c r="AK222" s="2"/>
      <c r="AL222" s="2"/>
      <c r="AM222" s="3"/>
      <c r="AN222" s="5"/>
      <c r="AO222" s="6"/>
      <c r="AP222" s="7"/>
      <c r="AQ222" s="3"/>
      <c r="AR222" s="5"/>
      <c r="AS222" s="6"/>
      <c r="AT222" s="7"/>
      <c r="AU222" s="3"/>
      <c r="AV222" s="5"/>
      <c r="AW222" s="6"/>
      <c r="AX222" s="7"/>
      <c r="AY222" s="2"/>
      <c r="AZ222" s="2"/>
      <c r="BA222" s="2"/>
      <c r="BB222" s="2"/>
      <c r="BC222" s="3"/>
      <c r="BD222" s="5"/>
      <c r="BE222" s="6"/>
      <c r="BF222" s="7"/>
      <c r="BG222" s="3"/>
      <c r="BH222" s="5"/>
      <c r="BI222" s="6"/>
      <c r="BJ222" s="7"/>
      <c r="BK222" s="3"/>
      <c r="BL222" s="5"/>
      <c r="BM222" s="6"/>
      <c r="BN222" s="7"/>
      <c r="BO222" s="2"/>
      <c r="BP222" s="2"/>
      <c r="BQ222" s="2"/>
      <c r="BR222" s="2"/>
    </row>
    <row r="223" spans="2:70" ht="18.75" customHeight="1" x14ac:dyDescent="0.25">
      <c r="B223" s="8" t="s">
        <v>751</v>
      </c>
      <c r="C223" s="3" t="s">
        <v>752</v>
      </c>
      <c r="D223" s="3" t="s">
        <v>243</v>
      </c>
      <c r="E223" s="5" t="s">
        <v>753</v>
      </c>
      <c r="F223" s="5" t="s">
        <v>754</v>
      </c>
      <c r="G223" s="6" t="str">
        <f ca="1">IFERROR(__xludf.DUMMYFUNCTION("GOOGLETRANSLATE(B223,""ja"",""ko"")"),"극단적 인 푹신 푹신한 달을 보는 우동")</f>
        <v>극단적 인 푹신 푹신한 달을 보는 우동</v>
      </c>
      <c r="H223" s="6"/>
      <c r="I223" s="7" t="str">
        <f ca="1">IFERROR(__xludf.DUMMYFUNCTION("GOOGLETRANSLATE(B223,""ja"",""zh"")"),"超厚蓬松的月见颜射乌冬面")</f>
        <v>超厚蓬松的月见颜射乌冬面</v>
      </c>
      <c r="J223" s="7"/>
      <c r="K223" s="3" t="s">
        <v>752</v>
      </c>
      <c r="L223" s="3" t="s">
        <v>243</v>
      </c>
      <c r="M223" s="5" t="s">
        <v>753</v>
      </c>
      <c r="N223" s="5" t="s">
        <v>754</v>
      </c>
      <c r="O223" s="6" t="str">
        <f ca="1">IFERROR(__xludf.DUMMYFUNCTION("GOOGLETRANSLATE(B223,""ja"",""ko"")"),"극단적 인 푹신 푹신한 달을 보는 우동")</f>
        <v>극단적 인 푹신 푹신한 달을 보는 우동</v>
      </c>
      <c r="P223" s="6"/>
      <c r="Q223" s="7" t="str">
        <f ca="1">IFERROR(__xludf.DUMMYFUNCTION("GOOGLETRANSLATE(B223,""ja"",""zh"")"),"超厚蓬松的月见颜射乌冬面")</f>
        <v>超厚蓬松的月见颜射乌冬面</v>
      </c>
      <c r="R223" s="7"/>
      <c r="S223" s="3" t="s">
        <v>752</v>
      </c>
      <c r="T223" s="5" t="str">
        <f ca="1">IFERROR(__xludf.DUMMYFUNCTION("GOOGLETRANSLATE(S223,""ja"",""en"")"),"Extra thick fluffy moon viewing")</f>
        <v>Extra thick fluffy moon viewing</v>
      </c>
      <c r="U223" s="6" t="str">
        <f ca="1">IFERROR(__xludf.DUMMYFUNCTION("GOOGLETRANSLATE(S223,""ja"",""ko"")"),"두꺼운 푹신 푹신한 달빛")</f>
        <v>두꺼운 푹신 푹신한 달빛</v>
      </c>
      <c r="V223" s="7" t="str">
        <f ca="1">IFERROR(__xludf.DUMMYFUNCTION("GOOGLETRANSLATE(S223,""ja"",""zh"")"),"超厚蓬松赏月")</f>
        <v>超厚蓬松赏月</v>
      </c>
      <c r="W223" s="3"/>
      <c r="X223" s="5"/>
      <c r="Y223" s="6"/>
      <c r="Z223" s="7"/>
      <c r="AA223" s="3"/>
      <c r="AB223" s="5"/>
      <c r="AC223" s="6"/>
      <c r="AD223" s="7"/>
      <c r="AE223" s="3"/>
      <c r="AF223" s="5"/>
      <c r="AG223" s="6"/>
      <c r="AH223" s="7"/>
      <c r="AI223" s="2"/>
      <c r="AJ223" s="2"/>
      <c r="AK223" s="2"/>
      <c r="AL223" s="2"/>
      <c r="AM223" s="3"/>
      <c r="AN223" s="5"/>
      <c r="AO223" s="6"/>
      <c r="AP223" s="7"/>
      <c r="AQ223" s="3"/>
      <c r="AR223" s="5"/>
      <c r="AS223" s="6"/>
      <c r="AT223" s="7"/>
      <c r="AU223" s="3"/>
      <c r="AV223" s="5"/>
      <c r="AW223" s="6"/>
      <c r="AX223" s="7"/>
      <c r="AY223" s="2"/>
      <c r="AZ223" s="2"/>
      <c r="BA223" s="2"/>
      <c r="BB223" s="2"/>
      <c r="BC223" s="3"/>
      <c r="BD223" s="5"/>
      <c r="BE223" s="6"/>
      <c r="BF223" s="7"/>
      <c r="BG223" s="3"/>
      <c r="BH223" s="5"/>
      <c r="BI223" s="6"/>
      <c r="BJ223" s="7"/>
      <c r="BK223" s="3"/>
      <c r="BL223" s="5"/>
      <c r="BM223" s="6"/>
      <c r="BN223" s="7"/>
      <c r="BO223" s="2"/>
      <c r="BP223" s="2"/>
      <c r="BQ223" s="2"/>
      <c r="BR223" s="2"/>
    </row>
    <row r="224" spans="2:70" ht="18.75" customHeight="1" x14ac:dyDescent="0.25">
      <c r="B224" s="8" t="s">
        <v>755</v>
      </c>
      <c r="C224" s="3" t="s">
        <v>756</v>
      </c>
      <c r="D224" s="3" t="s">
        <v>549</v>
      </c>
      <c r="E224" s="5" t="s">
        <v>753</v>
      </c>
      <c r="F224" s="5" t="s">
        <v>757</v>
      </c>
      <c r="G224" s="6" t="str">
        <f ca="1">IFERROR(__xludf.DUMMYFUNCTION("GOOGLETRANSLATE(B224,""ja"",""ko"")"),"푸른 노리 푹신 푹신 달 우산 우동")</f>
        <v>푸른 노리 푹신 푹신 달 우산 우동</v>
      </c>
      <c r="H224" s="6"/>
      <c r="I224" s="7" t="str">
        <f ca="1">IFERROR(__xludf.DUMMYFUNCTION("GOOGLETRANSLATE(B224,""ja"",""zh"")"),"青典蓬松月见颜射乌冬面")</f>
        <v>青典蓬松月见颜射乌冬面</v>
      </c>
      <c r="J224" s="7"/>
      <c r="K224" s="3" t="s">
        <v>756</v>
      </c>
      <c r="L224" s="3" t="s">
        <v>549</v>
      </c>
      <c r="M224" s="5" t="s">
        <v>753</v>
      </c>
      <c r="N224" s="5" t="s">
        <v>757</v>
      </c>
      <c r="O224" s="6" t="str">
        <f ca="1">IFERROR(__xludf.DUMMYFUNCTION("GOOGLETRANSLATE(B224,""ja"",""ko"")"),"푸른 노리 푹신 푹신 달 우산 우동")</f>
        <v>푸른 노리 푹신 푹신 달 우산 우동</v>
      </c>
      <c r="P224" s="6"/>
      <c r="Q224" s="7" t="str">
        <f ca="1">IFERROR(__xludf.DUMMYFUNCTION("GOOGLETRANSLATE(B224,""ja"",""zh"")"),"青典蓬松月见颜射乌冬面")</f>
        <v>青典蓬松月见颜射乌冬面</v>
      </c>
      <c r="R224" s="7"/>
      <c r="S224" s="3" t="s">
        <v>756</v>
      </c>
      <c r="T224" s="5" t="str">
        <f ca="1">IFERROR(__xludf.DUMMYFUNCTION("GOOGLETRANSLATE(S224,""ja"",""en"")"),"Aonori fluffy moon viewing")</f>
        <v>Aonori fluffy moon viewing</v>
      </c>
      <c r="U224" s="6" t="str">
        <f ca="1">IFERROR(__xludf.DUMMYFUNCTION("GOOGLETRANSLATE(S224,""ja"",""ko"")"),"블루 노리 푹신 푹신한 달빛")</f>
        <v>블루 노리 푹신 푹신한 달빛</v>
      </c>
      <c r="V224" s="7" t="str">
        <f ca="1">IFERROR(__xludf.DUMMYFUNCTION("GOOGLETRANSLATE(S224,""ja"",""zh"")"),"青典蓬松赏月")</f>
        <v>青典蓬松赏月</v>
      </c>
      <c r="W224" s="3"/>
      <c r="X224" s="5"/>
      <c r="Y224" s="6"/>
      <c r="Z224" s="7"/>
      <c r="AA224" s="3"/>
      <c r="AB224" s="5"/>
      <c r="AC224" s="6"/>
      <c r="AD224" s="7"/>
      <c r="AE224" s="3"/>
      <c r="AF224" s="5"/>
      <c r="AG224" s="6"/>
      <c r="AH224" s="7"/>
      <c r="AI224" s="2"/>
      <c r="AJ224" s="2"/>
      <c r="AK224" s="2"/>
      <c r="AL224" s="2"/>
      <c r="AM224" s="3"/>
      <c r="AN224" s="5"/>
      <c r="AO224" s="6"/>
      <c r="AP224" s="7"/>
      <c r="AQ224" s="3"/>
      <c r="AR224" s="5"/>
      <c r="AS224" s="6"/>
      <c r="AT224" s="7"/>
      <c r="AU224" s="3"/>
      <c r="AV224" s="5"/>
      <c r="AW224" s="6"/>
      <c r="AX224" s="7"/>
      <c r="AY224" s="2"/>
      <c r="AZ224" s="2"/>
      <c r="BA224" s="2"/>
      <c r="BB224" s="2"/>
      <c r="BC224" s="3"/>
      <c r="BD224" s="5"/>
      <c r="BE224" s="6"/>
      <c r="BF224" s="7"/>
      <c r="BG224" s="3"/>
      <c r="BH224" s="5"/>
      <c r="BI224" s="6"/>
      <c r="BJ224" s="7"/>
      <c r="BK224" s="3"/>
      <c r="BL224" s="5"/>
      <c r="BM224" s="6"/>
      <c r="BN224" s="7"/>
      <c r="BO224" s="2"/>
      <c r="BP224" s="2"/>
      <c r="BQ224" s="2"/>
      <c r="BR224" s="2"/>
    </row>
    <row r="225" spans="2:70" ht="18.75" customHeight="1" x14ac:dyDescent="0.25">
      <c r="B225" s="8" t="s">
        <v>758</v>
      </c>
      <c r="C225" s="3" t="s">
        <v>752</v>
      </c>
      <c r="D225" s="3" t="s">
        <v>544</v>
      </c>
      <c r="E225" s="5" t="s">
        <v>753</v>
      </c>
      <c r="F225" s="5" t="s">
        <v>754</v>
      </c>
      <c r="G225" s="6" t="str">
        <f ca="1">IFERROR(__xludf.DUMMYFUNCTION("GOOGLETRANSLATE(B225,""ja"",""ko"")"),"극단적 인 푹신 푹신한 달빛 우동")</f>
        <v>극단적 인 푹신 푹신한 달빛 우동</v>
      </c>
      <c r="H225" s="6"/>
      <c r="I225" s="7" t="str">
        <f ca="1">IFERROR(__xludf.DUMMYFUNCTION("GOOGLETRANSLATE(B225,""ja"",""zh"")"),"超厚蓬松的月见挂乌冬面")</f>
        <v>超厚蓬松的月见挂乌冬面</v>
      </c>
      <c r="J225" s="7"/>
      <c r="K225" s="3" t="s">
        <v>752</v>
      </c>
      <c r="L225" s="3" t="s">
        <v>544</v>
      </c>
      <c r="M225" s="5" t="s">
        <v>753</v>
      </c>
      <c r="N225" s="5" t="s">
        <v>754</v>
      </c>
      <c r="O225" s="6" t="str">
        <f ca="1">IFERROR(__xludf.DUMMYFUNCTION("GOOGLETRANSLATE(B225,""ja"",""ko"")"),"극단적 인 푹신 푹신한 달빛 우동")</f>
        <v>극단적 인 푹신 푹신한 달빛 우동</v>
      </c>
      <c r="P225" s="6"/>
      <c r="Q225" s="7" t="str">
        <f ca="1">IFERROR(__xludf.DUMMYFUNCTION("GOOGLETRANSLATE(B225,""ja"",""zh"")"),"超厚蓬松的月见挂乌冬面")</f>
        <v>超厚蓬松的月见挂乌冬面</v>
      </c>
      <c r="R225" s="7"/>
      <c r="S225" s="3" t="s">
        <v>752</v>
      </c>
      <c r="T225" s="5" t="str">
        <f ca="1">IFERROR(__xludf.DUMMYFUNCTION("GOOGLETRANSLATE(S225,""ja"",""en"")"),"Extra thick fluffy moon viewing")</f>
        <v>Extra thick fluffy moon viewing</v>
      </c>
      <c r="U225" s="6" t="str">
        <f ca="1">IFERROR(__xludf.DUMMYFUNCTION("GOOGLETRANSLATE(S225,""ja"",""ko"")"),"두꺼운 푹신 푹신한 달빛")</f>
        <v>두꺼운 푹신 푹신한 달빛</v>
      </c>
      <c r="V225" s="7" t="str">
        <f ca="1">IFERROR(__xludf.DUMMYFUNCTION("GOOGLETRANSLATE(S225,""ja"",""zh"")"),"超厚蓬松赏月")</f>
        <v>超厚蓬松赏月</v>
      </c>
      <c r="W225" s="3"/>
      <c r="X225" s="5"/>
      <c r="Y225" s="6"/>
      <c r="Z225" s="7"/>
      <c r="AA225" s="3"/>
      <c r="AB225" s="5"/>
      <c r="AC225" s="6"/>
      <c r="AD225" s="7"/>
      <c r="AE225" s="3"/>
      <c r="AF225" s="5"/>
      <c r="AG225" s="6"/>
      <c r="AH225" s="7"/>
      <c r="AI225" s="2"/>
      <c r="AJ225" s="2"/>
      <c r="AK225" s="2"/>
      <c r="AL225" s="2"/>
      <c r="AM225" s="3"/>
      <c r="AN225" s="5"/>
      <c r="AO225" s="6"/>
      <c r="AP225" s="7"/>
      <c r="AQ225" s="3"/>
      <c r="AR225" s="5"/>
      <c r="AS225" s="6"/>
      <c r="AT225" s="7"/>
      <c r="AU225" s="3"/>
      <c r="AV225" s="5"/>
      <c r="AW225" s="6"/>
      <c r="AX225" s="7"/>
      <c r="AY225" s="2"/>
      <c r="AZ225" s="2"/>
      <c r="BA225" s="2"/>
      <c r="BB225" s="2"/>
      <c r="BC225" s="3"/>
      <c r="BD225" s="5"/>
      <c r="BE225" s="6"/>
      <c r="BF225" s="7"/>
      <c r="BG225" s="3"/>
      <c r="BH225" s="5"/>
      <c r="BI225" s="6"/>
      <c r="BJ225" s="7"/>
      <c r="BK225" s="3"/>
      <c r="BL225" s="5"/>
      <c r="BM225" s="6"/>
      <c r="BN225" s="7"/>
      <c r="BO225" s="2"/>
      <c r="BP225" s="2"/>
      <c r="BQ225" s="2"/>
      <c r="BR225" s="2"/>
    </row>
    <row r="226" spans="2:70" ht="18.75" customHeight="1" x14ac:dyDescent="0.25">
      <c r="B226" s="8" t="s">
        <v>759</v>
      </c>
      <c r="C226" s="3" t="s">
        <v>756</v>
      </c>
      <c r="D226" s="3" t="s">
        <v>544</v>
      </c>
      <c r="E226" s="5" t="s">
        <v>753</v>
      </c>
      <c r="F226" s="5" t="s">
        <v>757</v>
      </c>
      <c r="G226" s="6" t="str">
        <f ca="1">IFERROR(__xludf.DUMMYFUNCTION("GOOGLETRANSLATE(B226,""ja"",""ko"")"),"푸른 노리 푹신 푹신 푹신 우동")</f>
        <v>푸른 노리 푹신 푹신 푹신 우동</v>
      </c>
      <c r="H226" s="6"/>
      <c r="I226" s="7" t="str">
        <f ca="1">IFERROR(__xludf.DUMMYFUNCTION("GOOGLETRANSLATE(B226,""ja"",""zh"")"),"青典蓬松月味挂乌冬面")</f>
        <v>青典蓬松月味挂乌冬面</v>
      </c>
      <c r="J226" s="7"/>
      <c r="K226" s="3" t="s">
        <v>756</v>
      </c>
      <c r="L226" s="3" t="s">
        <v>544</v>
      </c>
      <c r="M226" s="5" t="s">
        <v>753</v>
      </c>
      <c r="N226" s="5" t="s">
        <v>757</v>
      </c>
      <c r="O226" s="6" t="str">
        <f ca="1">IFERROR(__xludf.DUMMYFUNCTION("GOOGLETRANSLATE(B226,""ja"",""ko"")"),"푸른 노리 푹신 푹신 푹신 우동")</f>
        <v>푸른 노리 푹신 푹신 푹신 우동</v>
      </c>
      <c r="P226" s="6"/>
      <c r="Q226" s="7" t="str">
        <f ca="1">IFERROR(__xludf.DUMMYFUNCTION("GOOGLETRANSLATE(B226,""ja"",""zh"")"),"青典蓬松月味挂乌冬面")</f>
        <v>青典蓬松月味挂乌冬面</v>
      </c>
      <c r="R226" s="7"/>
      <c r="S226" s="3" t="s">
        <v>756</v>
      </c>
      <c r="T226" s="5" t="str">
        <f ca="1">IFERROR(__xludf.DUMMYFUNCTION("GOOGLETRANSLATE(S226,""ja"",""en"")"),"Aonori fluffy moon viewing")</f>
        <v>Aonori fluffy moon viewing</v>
      </c>
      <c r="U226" s="6" t="str">
        <f ca="1">IFERROR(__xludf.DUMMYFUNCTION("GOOGLETRANSLATE(S226,""ja"",""ko"")"),"블루 노리 푹신 푹신한 달빛")</f>
        <v>블루 노리 푹신 푹신한 달빛</v>
      </c>
      <c r="V226" s="7" t="str">
        <f ca="1">IFERROR(__xludf.DUMMYFUNCTION("GOOGLETRANSLATE(S226,""ja"",""zh"")"),"青典蓬松赏月")</f>
        <v>青典蓬松赏月</v>
      </c>
      <c r="W226" s="3"/>
      <c r="X226" s="5"/>
      <c r="Y226" s="6"/>
      <c r="Z226" s="7"/>
      <c r="AA226" s="3"/>
      <c r="AB226" s="5"/>
      <c r="AC226" s="6"/>
      <c r="AD226" s="7"/>
      <c r="AE226" s="3"/>
      <c r="AF226" s="5"/>
      <c r="AG226" s="6"/>
      <c r="AH226" s="7"/>
      <c r="AI226" s="2"/>
      <c r="AJ226" s="2"/>
      <c r="AK226" s="2"/>
      <c r="AL226" s="2"/>
      <c r="AM226" s="3"/>
      <c r="AN226" s="5"/>
      <c r="AO226" s="6"/>
      <c r="AP226" s="7"/>
      <c r="AQ226" s="3"/>
      <c r="AR226" s="5"/>
      <c r="AS226" s="6"/>
      <c r="AT226" s="7"/>
      <c r="AU226" s="3"/>
      <c r="AV226" s="5"/>
      <c r="AW226" s="6"/>
      <c r="AX226" s="7"/>
      <c r="AY226" s="2"/>
      <c r="AZ226" s="2"/>
      <c r="BA226" s="2"/>
      <c r="BB226" s="2"/>
      <c r="BC226" s="3"/>
      <c r="BD226" s="5"/>
      <c r="BE226" s="6"/>
      <c r="BF226" s="7"/>
      <c r="BG226" s="3"/>
      <c r="BH226" s="5"/>
      <c r="BI226" s="6"/>
      <c r="BJ226" s="7"/>
      <c r="BK226" s="3"/>
      <c r="BL226" s="5"/>
      <c r="BM226" s="6"/>
      <c r="BN226" s="7"/>
      <c r="BO226" s="2"/>
      <c r="BP226" s="2"/>
      <c r="BQ226" s="2"/>
      <c r="BR226" s="2"/>
    </row>
    <row r="227" spans="2:70" ht="18.75" customHeight="1" x14ac:dyDescent="0.25">
      <c r="B227" s="8" t="s">
        <v>760</v>
      </c>
      <c r="C227" s="3" t="s">
        <v>761</v>
      </c>
      <c r="D227" s="3"/>
      <c r="E227" s="5" t="s">
        <v>762</v>
      </c>
      <c r="F227" s="5" t="s">
        <v>114</v>
      </c>
      <c r="G227" s="6" t="str">
        <f ca="1">IFERROR(__xludf.DUMMYFUNCTION("GOOGLETRANSLATE(B227,""ja"",""ko"")"),"두꺼운 키츠네 카케 우동")</f>
        <v>두꺼운 키츠네 카케 우동</v>
      </c>
      <c r="H227" s="6"/>
      <c r="I227" s="7" t="str">
        <f ca="1">IFERROR(__xludf.DUMMYFUNCTION("GOOGLETRANSLATE(B227,""ja"",""zh"")"),"特厚狐乌冬面")</f>
        <v>特厚狐乌冬面</v>
      </c>
      <c r="J227" s="7"/>
      <c r="K227" s="3" t="s">
        <v>761</v>
      </c>
      <c r="L227" s="3"/>
      <c r="M227" s="5" t="s">
        <v>762</v>
      </c>
      <c r="N227" s="5" t="s">
        <v>114</v>
      </c>
      <c r="O227" s="6" t="str">
        <f ca="1">IFERROR(__xludf.DUMMYFUNCTION("GOOGLETRANSLATE(B227,""ja"",""ko"")"),"두꺼운 키츠네 카케 우동")</f>
        <v>두꺼운 키츠네 카케 우동</v>
      </c>
      <c r="P227" s="6"/>
      <c r="Q227" s="7" t="str">
        <f ca="1">IFERROR(__xludf.DUMMYFUNCTION("GOOGLETRANSLATE(B227,""ja"",""zh"")"),"特厚狐乌冬面")</f>
        <v>特厚狐乌冬面</v>
      </c>
      <c r="R227" s="7"/>
      <c r="S227" s="3" t="s">
        <v>761</v>
      </c>
      <c r="T227" s="5" t="str">
        <f ca="1">IFERROR(__xludf.DUMMYFUNCTION("GOOGLETRANSLATE(S227,""ja"",""en"")"),"Extra thick fox kake")</f>
        <v>Extra thick fox kake</v>
      </c>
      <c r="U227" s="6" t="str">
        <f ca="1">IFERROR(__xludf.DUMMYFUNCTION("GOOGLETRANSLATE(S227,""ja"",""ko"")"),"슈퍼 굵은")</f>
        <v>슈퍼 굵은</v>
      </c>
      <c r="V227" s="7" t="str">
        <f ca="1">IFERROR(__xludf.DUMMYFUNCTION("GOOGLETRANSLATE(S227,""ja"",""zh"")"),"特厚狐狸蛋糕")</f>
        <v>特厚狐狸蛋糕</v>
      </c>
      <c r="W227" s="3"/>
      <c r="X227" s="5"/>
      <c r="Y227" s="6"/>
      <c r="Z227" s="7"/>
      <c r="AA227" s="3"/>
      <c r="AB227" s="5"/>
      <c r="AC227" s="6"/>
      <c r="AD227" s="7"/>
      <c r="AE227" s="3"/>
      <c r="AF227" s="5"/>
      <c r="AG227" s="6"/>
      <c r="AH227" s="7"/>
      <c r="AI227" s="2"/>
      <c r="AJ227" s="2"/>
      <c r="AK227" s="2"/>
      <c r="AL227" s="2"/>
      <c r="AM227" s="3"/>
      <c r="AN227" s="5"/>
      <c r="AO227" s="6"/>
      <c r="AP227" s="7"/>
      <c r="AQ227" s="3"/>
      <c r="AR227" s="5"/>
      <c r="AS227" s="6"/>
      <c r="AT227" s="7"/>
      <c r="AU227" s="3"/>
      <c r="AV227" s="5"/>
      <c r="AW227" s="6"/>
      <c r="AX227" s="7"/>
      <c r="AY227" s="2"/>
      <c r="AZ227" s="2"/>
      <c r="BA227" s="2"/>
      <c r="BB227" s="2"/>
      <c r="BC227" s="3"/>
      <c r="BD227" s="5"/>
      <c r="BE227" s="6"/>
      <c r="BF227" s="7"/>
      <c r="BG227" s="3"/>
      <c r="BH227" s="5"/>
      <c r="BI227" s="6"/>
      <c r="BJ227" s="7"/>
      <c r="BK227" s="3"/>
      <c r="BL227" s="5"/>
      <c r="BM227" s="6"/>
      <c r="BN227" s="7"/>
      <c r="BO227" s="2"/>
      <c r="BP227" s="2"/>
      <c r="BQ227" s="2"/>
      <c r="BR227" s="2"/>
    </row>
    <row r="228" spans="2:70" ht="18.75" customHeight="1" x14ac:dyDescent="0.25">
      <c r="B228" s="8" t="s">
        <v>763</v>
      </c>
      <c r="C228" s="3" t="s">
        <v>764</v>
      </c>
      <c r="D228" s="3"/>
      <c r="E228" s="5" t="s">
        <v>762</v>
      </c>
      <c r="F228" s="5" t="s">
        <v>114</v>
      </c>
      <c r="G228" s="6" t="str">
        <f ca="1">IFERROR(__xludf.DUMMYFUNCTION("GOOGLETRANSLATE(B228,""ja"",""ko"")"),"블루 노리 키츠네 케 우동")</f>
        <v>블루 노리 키츠네 케 우동</v>
      </c>
      <c r="H228" s="6"/>
      <c r="I228" s="7" t="str">
        <f ca="1">IFERROR(__xludf.DUMMYFUNCTION("GOOGLETRANSLATE(B228,""ja"",""zh"")"),"绿海苔狐乌冬面")</f>
        <v>绿海苔狐乌冬面</v>
      </c>
      <c r="J228" s="7"/>
      <c r="K228" s="3" t="s">
        <v>764</v>
      </c>
      <c r="L228" s="3"/>
      <c r="M228" s="5" t="s">
        <v>762</v>
      </c>
      <c r="N228" s="5" t="s">
        <v>114</v>
      </c>
      <c r="O228" s="6" t="str">
        <f ca="1">IFERROR(__xludf.DUMMYFUNCTION("GOOGLETRANSLATE(B228,""ja"",""ko"")"),"블루 노리 키츠네 케 우동")</f>
        <v>블루 노리 키츠네 케 우동</v>
      </c>
      <c r="P228" s="6"/>
      <c r="Q228" s="7" t="str">
        <f ca="1">IFERROR(__xludf.DUMMYFUNCTION("GOOGLETRANSLATE(B228,""ja"",""zh"")"),"绿海苔狐乌冬面")</f>
        <v>绿海苔狐乌冬面</v>
      </c>
      <c r="R228" s="7"/>
      <c r="S228" s="3" t="s">
        <v>764</v>
      </c>
      <c r="T228" s="5" t="str">
        <f ca="1">IFERROR(__xludf.DUMMYFUNCTION("GOOGLETRANSLATE(S228,""ja"",""en"")"),"Aonori seaweed with foxtail")</f>
        <v>Aonori seaweed with foxtail</v>
      </c>
      <c r="U228" s="6" t="str">
        <f ca="1">IFERROR(__xludf.DUMMYFUNCTION("GOOGLETRANSLATE(S228,""ja"",""ko"")"),"블루 노리 키츠네 카케")</f>
        <v>블루 노리 키츠네 카케</v>
      </c>
      <c r="V228" s="7" t="str">
        <f ca="1">IFERROR(__xludf.DUMMYFUNCTION("GOOGLETRANSLATE(S228,""ja"",""zh"")"),"青海苔狐尾草")</f>
        <v>青海苔狐尾草</v>
      </c>
      <c r="W228" s="3"/>
      <c r="X228" s="5"/>
      <c r="Y228" s="6"/>
      <c r="Z228" s="7"/>
      <c r="AA228" s="3"/>
      <c r="AB228" s="5"/>
      <c r="AC228" s="6"/>
      <c r="AD228" s="7"/>
      <c r="AE228" s="3"/>
      <c r="AF228" s="5"/>
      <c r="AG228" s="6"/>
      <c r="AH228" s="7"/>
      <c r="AI228" s="2"/>
      <c r="AJ228" s="2"/>
      <c r="AK228" s="2"/>
      <c r="AL228" s="2"/>
      <c r="AM228" s="3"/>
      <c r="AN228" s="5"/>
      <c r="AO228" s="6"/>
      <c r="AP228" s="7"/>
      <c r="AQ228" s="3"/>
      <c r="AR228" s="5"/>
      <c r="AS228" s="6"/>
      <c r="AT228" s="7"/>
      <c r="AU228" s="3"/>
      <c r="AV228" s="5"/>
      <c r="AW228" s="6"/>
      <c r="AX228" s="7"/>
      <c r="AY228" s="2"/>
      <c r="AZ228" s="2"/>
      <c r="BA228" s="2"/>
      <c r="BB228" s="2"/>
      <c r="BC228" s="3"/>
      <c r="BD228" s="5"/>
      <c r="BE228" s="6"/>
      <c r="BF228" s="7"/>
      <c r="BG228" s="3"/>
      <c r="BH228" s="5"/>
      <c r="BI228" s="6"/>
      <c r="BJ228" s="7"/>
      <c r="BK228" s="3"/>
      <c r="BL228" s="5"/>
      <c r="BM228" s="6"/>
      <c r="BN228" s="7"/>
      <c r="BO228" s="2"/>
      <c r="BP228" s="2"/>
      <c r="BQ228" s="2"/>
      <c r="BR228" s="2"/>
    </row>
    <row r="229" spans="2:70" ht="18.75" customHeight="1" x14ac:dyDescent="0.25">
      <c r="B229" s="8" t="s">
        <v>765</v>
      </c>
      <c r="C229" s="3" t="s">
        <v>766</v>
      </c>
      <c r="D229" s="3" t="s">
        <v>243</v>
      </c>
      <c r="E229" s="5" t="s">
        <v>762</v>
      </c>
      <c r="F229" s="5" t="s">
        <v>381</v>
      </c>
      <c r="G229" s="6" t="str">
        <f ca="1">IFERROR(__xludf.DUMMYFUNCTION("GOOGLETRANSLATE(B229,""ja"",""ko"")"),"두꺼운 키츠네 부카케 우동")</f>
        <v>두꺼운 키츠네 부카케 우동</v>
      </c>
      <c r="H229" s="6"/>
      <c r="I229" s="7" t="str">
        <f ca="1">IFERROR(__xludf.DUMMYFUNCTION("GOOGLETRANSLATE(B229,""ja"",""zh"")"),"特厚狐狸颜射乌冬面")</f>
        <v>特厚狐狸颜射乌冬面</v>
      </c>
      <c r="J229" s="7"/>
      <c r="K229" s="3" t="s">
        <v>766</v>
      </c>
      <c r="L229" s="3" t="s">
        <v>243</v>
      </c>
      <c r="M229" s="5" t="s">
        <v>762</v>
      </c>
      <c r="N229" s="5" t="s">
        <v>381</v>
      </c>
      <c r="O229" s="6" t="str">
        <f ca="1">IFERROR(__xludf.DUMMYFUNCTION("GOOGLETRANSLATE(B229,""ja"",""ko"")"),"두꺼운 키츠네 부카케 우동")</f>
        <v>두꺼운 키츠네 부카케 우동</v>
      </c>
      <c r="P229" s="6"/>
      <c r="Q229" s="7" t="str">
        <f ca="1">IFERROR(__xludf.DUMMYFUNCTION("GOOGLETRANSLATE(B229,""ja"",""zh"")"),"特厚狐狸颜射乌冬面")</f>
        <v>特厚狐狸颜射乌冬面</v>
      </c>
      <c r="R229" s="7"/>
      <c r="S229" s="3" t="s">
        <v>767</v>
      </c>
      <c r="T229" s="5" t="str">
        <f ca="1">IFERROR(__xludf.DUMMYFUNCTION("GOOGLETRANSLATE(S229,""ja"",""en"")"),"Very thick fox bukka")</f>
        <v>Very thick fox bukka</v>
      </c>
      <c r="U229" s="6" t="str">
        <f ca="1">IFERROR(__xludf.DUMMYFUNCTION("GOOGLETRANSLATE(S229,""ja"",""ko"")"),"두꺼운 키츠네 부카")</f>
        <v>두꺼운 키츠네 부카</v>
      </c>
      <c r="V229" s="7" t="str">
        <f ca="1">IFERROR(__xludf.DUMMYFUNCTION("GOOGLETRANSLATE(S229,""ja"",""zh"")"),"非常厚的狐狸 bukka")</f>
        <v>非常厚的狐狸 bukka</v>
      </c>
      <c r="W229" s="3"/>
      <c r="X229" s="5"/>
      <c r="Y229" s="6"/>
      <c r="Z229" s="7"/>
      <c r="AA229" s="3"/>
      <c r="AB229" s="5"/>
      <c r="AC229" s="6"/>
      <c r="AD229" s="7"/>
      <c r="AE229" s="3"/>
      <c r="AF229" s="5"/>
      <c r="AG229" s="6"/>
      <c r="AH229" s="7"/>
      <c r="AI229" s="2"/>
      <c r="AJ229" s="2"/>
      <c r="AK229" s="2"/>
      <c r="AL229" s="2"/>
      <c r="AM229" s="3"/>
      <c r="AN229" s="5"/>
      <c r="AO229" s="6"/>
      <c r="AP229" s="7"/>
      <c r="AQ229" s="3"/>
      <c r="AR229" s="5"/>
      <c r="AS229" s="6"/>
      <c r="AT229" s="7"/>
      <c r="AU229" s="3"/>
      <c r="AV229" s="5"/>
      <c r="AW229" s="6"/>
      <c r="AX229" s="7"/>
      <c r="AY229" s="2"/>
      <c r="AZ229" s="2"/>
      <c r="BA229" s="2"/>
      <c r="BB229" s="2"/>
      <c r="BC229" s="3"/>
      <c r="BD229" s="5"/>
      <c r="BE229" s="6"/>
      <c r="BF229" s="7"/>
      <c r="BG229" s="3"/>
      <c r="BH229" s="5"/>
      <c r="BI229" s="6"/>
      <c r="BJ229" s="7"/>
      <c r="BK229" s="3"/>
      <c r="BL229" s="5"/>
      <c r="BM229" s="6"/>
      <c r="BN229" s="7"/>
      <c r="BO229" s="2"/>
      <c r="BP229" s="2"/>
      <c r="BQ229" s="2"/>
      <c r="BR229" s="2"/>
    </row>
    <row r="230" spans="2:70" ht="18.75" customHeight="1" x14ac:dyDescent="0.25">
      <c r="B230" s="8" t="s">
        <v>768</v>
      </c>
      <c r="C230" s="3" t="s">
        <v>769</v>
      </c>
      <c r="D230" s="3" t="s">
        <v>243</v>
      </c>
      <c r="E230" s="5" t="s">
        <v>762</v>
      </c>
      <c r="F230" s="5" t="s">
        <v>381</v>
      </c>
      <c r="G230" s="6" t="str">
        <f ca="1">IFERROR(__xludf.DUMMYFUNCTION("GOOGLETRANSLATE(B230,""ja"",""ko"")"),"블루 노리 키츠네 부카케 우동")</f>
        <v>블루 노리 키츠네 부카케 우동</v>
      </c>
      <c r="H230" s="6"/>
      <c r="I230" s="7" t="str">
        <f ca="1">IFERROR(__xludf.DUMMYFUNCTION("GOOGLETRANSLATE(B230,""ja"",""zh"")"),"青典狐颜射乌冬面")</f>
        <v>青典狐颜射乌冬面</v>
      </c>
      <c r="J230" s="7"/>
      <c r="K230" s="3" t="s">
        <v>769</v>
      </c>
      <c r="L230" s="3" t="s">
        <v>243</v>
      </c>
      <c r="M230" s="5" t="s">
        <v>762</v>
      </c>
      <c r="N230" s="5" t="s">
        <v>381</v>
      </c>
      <c r="O230" s="6" t="str">
        <f ca="1">IFERROR(__xludf.DUMMYFUNCTION("GOOGLETRANSLATE(B230,""ja"",""ko"")"),"블루 노리 키츠네 부카케 우동")</f>
        <v>블루 노리 키츠네 부카케 우동</v>
      </c>
      <c r="P230" s="6"/>
      <c r="Q230" s="7" t="str">
        <f ca="1">IFERROR(__xludf.DUMMYFUNCTION("GOOGLETRANSLATE(B230,""ja"",""zh"")"),"青典狐颜射乌冬面")</f>
        <v>青典狐颜射乌冬面</v>
      </c>
      <c r="R230" s="7"/>
      <c r="S230" s="3" t="s">
        <v>770</v>
      </c>
      <c r="T230" s="5" t="str">
        <f ca="1">IFERROR(__xludf.DUMMYFUNCTION("GOOGLETRANSLATE(S230,""ja"",""en"")"),"Aonori fox butt")</f>
        <v>Aonori fox butt</v>
      </c>
      <c r="U230" s="6" t="str">
        <f ca="1">IFERROR(__xludf.DUMMYFUNCTION("GOOGLETRANSLATE(S230,""ja"",""ko"")"),"블루 노리 키츠네 부츠")</f>
        <v>블루 노리 키츠네 부츠</v>
      </c>
      <c r="V230" s="7" t="str">
        <f ca="1">IFERROR(__xludf.DUMMYFUNCTION("GOOGLETRANSLATE(S230,""ja"",""zh"")"),"青典狐狸屁股")</f>
        <v>青典狐狸屁股</v>
      </c>
      <c r="W230" s="3"/>
      <c r="X230" s="5"/>
      <c r="Y230" s="6"/>
      <c r="Z230" s="7"/>
      <c r="AA230" s="3"/>
      <c r="AB230" s="5"/>
      <c r="AC230" s="6"/>
      <c r="AD230" s="7"/>
      <c r="AE230" s="3"/>
      <c r="AF230" s="5"/>
      <c r="AG230" s="6"/>
      <c r="AH230" s="7"/>
      <c r="AI230" s="2"/>
      <c r="AJ230" s="2"/>
      <c r="AK230" s="2"/>
      <c r="AL230" s="2"/>
      <c r="AM230" s="3"/>
      <c r="AN230" s="5"/>
      <c r="AO230" s="6"/>
      <c r="AP230" s="7"/>
      <c r="AQ230" s="3"/>
      <c r="AR230" s="5"/>
      <c r="AS230" s="6"/>
      <c r="AT230" s="7"/>
      <c r="AU230" s="3"/>
      <c r="AV230" s="5"/>
      <c r="AW230" s="6"/>
      <c r="AX230" s="7"/>
      <c r="AY230" s="2"/>
      <c r="AZ230" s="2"/>
      <c r="BA230" s="2"/>
      <c r="BB230" s="2"/>
      <c r="BC230" s="3"/>
      <c r="BD230" s="5"/>
      <c r="BE230" s="6"/>
      <c r="BF230" s="7"/>
      <c r="BG230" s="3"/>
      <c r="BH230" s="5"/>
      <c r="BI230" s="6"/>
      <c r="BJ230" s="7"/>
      <c r="BK230" s="3"/>
      <c r="BL230" s="5"/>
      <c r="BM230" s="6"/>
      <c r="BN230" s="7"/>
      <c r="BO230" s="2"/>
      <c r="BP230" s="2"/>
      <c r="BQ230" s="2"/>
      <c r="BR230" s="2"/>
    </row>
    <row r="231" spans="2:70" ht="18.75" customHeight="1" x14ac:dyDescent="0.25">
      <c r="B231" s="8" t="s">
        <v>771</v>
      </c>
      <c r="C231" s="3" t="s">
        <v>772</v>
      </c>
      <c r="D231" s="3" t="s">
        <v>634</v>
      </c>
      <c r="E231" s="5" t="s">
        <v>773</v>
      </c>
      <c r="F231" s="5" t="s">
        <v>565</v>
      </c>
      <c r="G231" s="6" t="str">
        <f ca="1">IFERROR(__xludf.DUMMYFUNCTION("GOOGLETRANSLATE(B231,""ja"",""ko"")"),"극태 일일 우동 (온)")</f>
        <v>극태 일일 우동 (온)</v>
      </c>
      <c r="H231" s="6"/>
      <c r="I231" s="7" t="str">
        <f ca="1">IFERROR(__xludf.DUMMYFUNCTION("GOOGLETRANSLATE(B231,""ja"",""zh"")"),"每日特粗乌冬面（温）")</f>
        <v>每日特粗乌冬面（温）</v>
      </c>
      <c r="J231" s="7"/>
      <c r="K231" s="3" t="s">
        <v>772</v>
      </c>
      <c r="L231" s="3" t="s">
        <v>634</v>
      </c>
      <c r="M231" s="5" t="s">
        <v>773</v>
      </c>
      <c r="N231" s="5" t="s">
        <v>565</v>
      </c>
      <c r="O231" s="6" t="str">
        <f ca="1">IFERROR(__xludf.DUMMYFUNCTION("GOOGLETRANSLATE(B231,""ja"",""ko"")"),"극태 일일 우동 (온)")</f>
        <v>극태 일일 우동 (온)</v>
      </c>
      <c r="P231" s="6"/>
      <c r="Q231" s="7" t="str">
        <f ca="1">IFERROR(__xludf.DUMMYFUNCTION("GOOGLETRANSLATE(B231,""ja"",""zh"")"),"每日特粗乌冬面（温）")</f>
        <v>每日特粗乌冬面（温）</v>
      </c>
      <c r="R231" s="7"/>
      <c r="S231" s="3" t="s">
        <v>774</v>
      </c>
      <c r="T231" s="5" t="str">
        <f ca="1">IFERROR(__xludf.DUMMYFUNCTION("GOOGLETRANSLATE(S231,""ja"",""en"")"),"Extra thick daily udon noodles")</f>
        <v>Extra thick daily udon noodles</v>
      </c>
      <c r="U231" s="6" t="str">
        <f ca="1">IFERROR(__xludf.DUMMYFUNCTION("GOOGLETRANSLATE(S231,""ja"",""ko"")"),"극단 일일 우동")</f>
        <v>극단 일일 우동</v>
      </c>
      <c r="V231" s="7" t="str">
        <f ca="1">IFERROR(__xludf.DUMMYFUNCTION("GOOGLETRANSLATE(S231,""ja"",""zh"")"),"每日特粗乌冬面")</f>
        <v>每日特粗乌冬面</v>
      </c>
      <c r="W231" s="3"/>
      <c r="X231" s="5"/>
      <c r="Y231" s="6"/>
      <c r="Z231" s="7"/>
      <c r="AA231" s="3"/>
      <c r="AB231" s="5"/>
      <c r="AC231" s="6"/>
      <c r="AD231" s="7"/>
      <c r="AE231" s="3"/>
      <c r="AF231" s="5"/>
      <c r="AG231" s="6"/>
      <c r="AH231" s="7"/>
      <c r="AI231" s="2"/>
      <c r="AJ231" s="2"/>
      <c r="AK231" s="2"/>
      <c r="AL231" s="2"/>
      <c r="AM231" s="3"/>
      <c r="AN231" s="5"/>
      <c r="AO231" s="6"/>
      <c r="AP231" s="7"/>
      <c r="AQ231" s="3"/>
      <c r="AR231" s="5"/>
      <c r="AS231" s="6"/>
      <c r="AT231" s="7"/>
      <c r="AU231" s="3"/>
      <c r="AV231" s="5"/>
      <c r="AW231" s="6"/>
      <c r="AX231" s="7"/>
      <c r="AY231" s="2"/>
      <c r="AZ231" s="2"/>
      <c r="BA231" s="2"/>
      <c r="BB231" s="2"/>
      <c r="BC231" s="3"/>
      <c r="BD231" s="5"/>
      <c r="BE231" s="6"/>
      <c r="BF231" s="7"/>
      <c r="BG231" s="3"/>
      <c r="BH231" s="5"/>
      <c r="BI231" s="6"/>
      <c r="BJ231" s="7"/>
      <c r="BK231" s="3"/>
      <c r="BL231" s="5"/>
      <c r="BM231" s="6"/>
      <c r="BN231" s="7"/>
      <c r="BO231" s="2"/>
      <c r="BP231" s="2"/>
      <c r="BQ231" s="2"/>
      <c r="BR231" s="2"/>
    </row>
    <row r="232" spans="2:70" ht="18.75" customHeight="1" x14ac:dyDescent="0.25">
      <c r="B232" s="8" t="s">
        <v>775</v>
      </c>
      <c r="C232" s="3" t="s">
        <v>776</v>
      </c>
      <c r="D232" s="3" t="s">
        <v>634</v>
      </c>
      <c r="E232" s="5" t="s">
        <v>773</v>
      </c>
      <c r="F232" s="5" t="s">
        <v>502</v>
      </c>
      <c r="G232" s="6" t="str">
        <f ca="1">IFERROR(__xludf.DUMMYFUNCTION("GOOGLETRANSLATE(B232,""ja"",""ko"")"),"푸른 노리 일일 우동 (온)")</f>
        <v>푸른 노리 일일 우동 (온)</v>
      </c>
      <c r="H232" s="6"/>
      <c r="I232" s="7" t="str">
        <f ca="1">IFERROR(__xludf.DUMMYFUNCTION("GOOGLETRANSLATE(B232,""ja"",""zh"")"),"青海每日特色乌冬面（温）")</f>
        <v>青海每日特色乌冬面（温）</v>
      </c>
      <c r="J232" s="7"/>
      <c r="K232" s="3" t="s">
        <v>776</v>
      </c>
      <c r="L232" s="3" t="s">
        <v>634</v>
      </c>
      <c r="M232" s="5" t="s">
        <v>773</v>
      </c>
      <c r="N232" s="5" t="s">
        <v>502</v>
      </c>
      <c r="O232" s="6" t="str">
        <f ca="1">IFERROR(__xludf.DUMMYFUNCTION("GOOGLETRANSLATE(B232,""ja"",""ko"")"),"푸른 노리 일일 우동 (온)")</f>
        <v>푸른 노리 일일 우동 (온)</v>
      </c>
      <c r="P232" s="6"/>
      <c r="Q232" s="7" t="str">
        <f ca="1">IFERROR(__xludf.DUMMYFUNCTION("GOOGLETRANSLATE(B232,""ja"",""zh"")"),"青海每日特色乌冬面（温）")</f>
        <v>青海每日特色乌冬面（温）</v>
      </c>
      <c r="R232" s="7"/>
      <c r="S232" s="3" t="s">
        <v>777</v>
      </c>
      <c r="T232" s="5" t="str">
        <f ca="1">IFERROR(__xludf.DUMMYFUNCTION("GOOGLETRANSLATE(S232,""ja"",""en"")"),"Aonori seaweed changes daily")</f>
        <v>Aonori seaweed changes daily</v>
      </c>
      <c r="U232" s="6" t="str">
        <f ca="1">IFERROR(__xludf.DUMMYFUNCTION("GOOGLETRANSLATE(S232,""ja"",""ko"")"),"블루 노리 일일 바꾸기")</f>
        <v>블루 노리 일일 바꾸기</v>
      </c>
      <c r="V232" s="7" t="str">
        <f ca="1">IFERROR(__xludf.DUMMYFUNCTION("GOOGLETRANSLATE(S232,""ja"",""zh"")"),"青海藻每日更换")</f>
        <v>青海藻每日更换</v>
      </c>
      <c r="W232" s="3"/>
      <c r="X232" s="5"/>
      <c r="Y232" s="6"/>
      <c r="Z232" s="7"/>
      <c r="AA232" s="3"/>
      <c r="AB232" s="5"/>
      <c r="AC232" s="6"/>
      <c r="AD232" s="7"/>
      <c r="AE232" s="3"/>
      <c r="AF232" s="5"/>
      <c r="AG232" s="6"/>
      <c r="AH232" s="7"/>
      <c r="AI232" s="2"/>
      <c r="AJ232" s="2"/>
      <c r="AK232" s="2"/>
      <c r="AL232" s="2"/>
      <c r="AM232" s="3"/>
      <c r="AN232" s="5"/>
      <c r="AO232" s="6"/>
      <c r="AP232" s="7"/>
      <c r="AQ232" s="3"/>
      <c r="AR232" s="5"/>
      <c r="AS232" s="6"/>
      <c r="AT232" s="7"/>
      <c r="AU232" s="3"/>
      <c r="AV232" s="5"/>
      <c r="AW232" s="6"/>
      <c r="AX232" s="7"/>
      <c r="AY232" s="2"/>
      <c r="AZ232" s="2"/>
      <c r="BA232" s="2"/>
      <c r="BB232" s="2"/>
      <c r="BC232" s="3"/>
      <c r="BD232" s="5"/>
      <c r="BE232" s="6"/>
      <c r="BF232" s="7"/>
      <c r="BG232" s="3"/>
      <c r="BH232" s="5"/>
      <c r="BI232" s="6"/>
      <c r="BJ232" s="7"/>
      <c r="BK232" s="3"/>
      <c r="BL232" s="5"/>
      <c r="BM232" s="6"/>
      <c r="BN232" s="7"/>
      <c r="BO232" s="2"/>
      <c r="BP232" s="2"/>
      <c r="BQ232" s="2"/>
      <c r="BR232" s="2"/>
    </row>
    <row r="233" spans="2:70" ht="18.75" customHeight="1" x14ac:dyDescent="0.25">
      <c r="B233" s="8" t="s">
        <v>778</v>
      </c>
      <c r="C233" s="3" t="s">
        <v>779</v>
      </c>
      <c r="D233" s="3" t="s">
        <v>780</v>
      </c>
      <c r="E233" s="5" t="s">
        <v>781</v>
      </c>
      <c r="F233" s="5" t="s">
        <v>565</v>
      </c>
      <c r="G233" s="6" t="str">
        <f ca="1">IFERROR(__xludf.DUMMYFUNCTION("GOOGLETRANSLATE(B233,""ja"",""ko"")"),"극단 일일 바꾸기 우동 (냉)")</f>
        <v>극단 일일 바꾸기 우동 (냉)</v>
      </c>
      <c r="H233" s="6"/>
      <c r="I233" s="7" t="str">
        <f ca="1">IFERROR(__xludf.DUMMYFUNCTION("GOOGLETRANSLATE(B233,""ja"",""zh"")"),"特厚每日更换颜射乌冬面（冷）")</f>
        <v>特厚每日更换颜射乌冬面（冷）</v>
      </c>
      <c r="J233" s="7"/>
      <c r="K233" s="3" t="s">
        <v>779</v>
      </c>
      <c r="L233" s="3" t="s">
        <v>780</v>
      </c>
      <c r="M233" s="5" t="s">
        <v>781</v>
      </c>
      <c r="N233" s="5" t="s">
        <v>565</v>
      </c>
      <c r="O233" s="6" t="str">
        <f ca="1">IFERROR(__xludf.DUMMYFUNCTION("GOOGLETRANSLATE(B233,""ja"",""ko"")"),"극단 일일 바꾸기 우동 (냉)")</f>
        <v>극단 일일 바꾸기 우동 (냉)</v>
      </c>
      <c r="P233" s="6"/>
      <c r="Q233" s="7" t="str">
        <f ca="1">IFERROR(__xludf.DUMMYFUNCTION("GOOGLETRANSLATE(B233,""ja"",""zh"")"),"特厚每日更换颜射乌冬面（冷）")</f>
        <v>特厚每日更换颜射乌冬面（冷）</v>
      </c>
      <c r="R233" s="7"/>
      <c r="S233" s="3" t="s">
        <v>779</v>
      </c>
      <c r="T233" s="5" t="str">
        <f ca="1">IFERROR(__xludf.DUMMYFUNCTION("GOOGLETRANSLATE(S233,""ja"",""en"")"),"Extra thick daily special")</f>
        <v>Extra thick daily special</v>
      </c>
      <c r="U233" s="6" t="str">
        <f ca="1">IFERROR(__xludf.DUMMYFUNCTION("GOOGLETRANSLATE(S233,""ja"",""ko"")"),"극단 일일 바꾸기")</f>
        <v>극단 일일 바꾸기</v>
      </c>
      <c r="V233" s="7" t="str">
        <f ca="1">IFERROR(__xludf.DUMMYFUNCTION("GOOGLETRANSLATE(S233,""ja"",""zh"")"),"特厚每日特价")</f>
        <v>特厚每日特价</v>
      </c>
      <c r="W233" s="3"/>
      <c r="X233" s="5"/>
      <c r="Y233" s="6"/>
      <c r="Z233" s="7"/>
      <c r="AA233" s="3"/>
      <c r="AB233" s="5"/>
      <c r="AC233" s="6"/>
      <c r="AD233" s="7"/>
      <c r="AE233" s="3"/>
      <c r="AF233" s="5"/>
      <c r="AG233" s="6"/>
      <c r="AH233" s="7"/>
      <c r="AI233" s="2"/>
      <c r="AJ233" s="2"/>
      <c r="AK233" s="2"/>
      <c r="AL233" s="2"/>
      <c r="AM233" s="3"/>
      <c r="AN233" s="5"/>
      <c r="AO233" s="6"/>
      <c r="AP233" s="7"/>
      <c r="AQ233" s="3"/>
      <c r="AR233" s="5"/>
      <c r="AS233" s="6"/>
      <c r="AT233" s="7"/>
      <c r="AU233" s="3"/>
      <c r="AV233" s="5"/>
      <c r="AW233" s="6"/>
      <c r="AX233" s="7"/>
      <c r="AY233" s="2"/>
      <c r="AZ233" s="2"/>
      <c r="BA233" s="2"/>
      <c r="BB233" s="2"/>
      <c r="BC233" s="3"/>
      <c r="BD233" s="5"/>
      <c r="BE233" s="6"/>
      <c r="BF233" s="7"/>
      <c r="BG233" s="3"/>
      <c r="BH233" s="5"/>
      <c r="BI233" s="6"/>
      <c r="BJ233" s="7"/>
      <c r="BK233" s="3"/>
      <c r="BL233" s="5"/>
      <c r="BM233" s="6"/>
      <c r="BN233" s="7"/>
      <c r="BO233" s="2"/>
      <c r="BP233" s="2"/>
      <c r="BQ233" s="2"/>
      <c r="BR233" s="2"/>
    </row>
    <row r="234" spans="2:70" ht="18.75" customHeight="1" x14ac:dyDescent="0.25">
      <c r="B234" s="8" t="s">
        <v>782</v>
      </c>
      <c r="C234" s="3" t="s">
        <v>783</v>
      </c>
      <c r="D234" s="3" t="s">
        <v>780</v>
      </c>
      <c r="E234" s="5" t="s">
        <v>781</v>
      </c>
      <c r="F234" s="5" t="s">
        <v>502</v>
      </c>
      <c r="G234" s="6" t="str">
        <f ca="1">IFERROR(__xludf.DUMMYFUNCTION("GOOGLETRANSLATE(B234,""ja"",""ko"")"),"푸른 노리 일일 부카케 우동 (냉)")</f>
        <v>푸른 노리 일일 부카케 우동 (냉)</v>
      </c>
      <c r="H234" s="6"/>
      <c r="I234" s="7" t="str">
        <f ca="1">IFERROR(__xludf.DUMMYFUNCTION("GOOGLETRANSLATE(B234,""ja"",""zh"")"),"Aonori每日特制颜射乌冬面（冷）")</f>
        <v>Aonori每日特制颜射乌冬面（冷）</v>
      </c>
      <c r="J234" s="7"/>
      <c r="K234" s="3" t="s">
        <v>783</v>
      </c>
      <c r="L234" s="3" t="s">
        <v>780</v>
      </c>
      <c r="M234" s="5" t="s">
        <v>781</v>
      </c>
      <c r="N234" s="5" t="s">
        <v>502</v>
      </c>
      <c r="O234" s="6" t="str">
        <f ca="1">IFERROR(__xludf.DUMMYFUNCTION("GOOGLETRANSLATE(B234,""ja"",""ko"")"),"푸른 노리 일일 부카케 우동 (냉)")</f>
        <v>푸른 노리 일일 부카케 우동 (냉)</v>
      </c>
      <c r="P234" s="6"/>
      <c r="Q234" s="7" t="str">
        <f ca="1">IFERROR(__xludf.DUMMYFUNCTION("GOOGLETRANSLATE(B234,""ja"",""zh"")"),"Aonori每日特制颜射乌冬面（冷）")</f>
        <v>Aonori每日特制颜射乌冬面（冷）</v>
      </c>
      <c r="R234" s="7"/>
      <c r="S234" s="3" t="s">
        <v>784</v>
      </c>
      <c r="T234" s="5" t="str">
        <f ca="1">IFERROR(__xludf.DUMMYFUNCTION("GOOGLETRANSLATE(S234,""ja"",""en"")"),"Green seaweed daily special")</f>
        <v>Green seaweed daily special</v>
      </c>
      <c r="U234" s="6" t="str">
        <f ca="1">IFERROR(__xludf.DUMMYFUNCTION("GOOGLETRANSLATE(S234,""ja"",""ko"")"),"파란 노리 일일 바보")</f>
        <v>파란 노리 일일 바보</v>
      </c>
      <c r="V234" s="7" t="str">
        <f ca="1">IFERROR(__xludf.DUMMYFUNCTION("GOOGLETRANSLATE(S234,""ja"",""zh"")"),"绿海藻每日特价")</f>
        <v>绿海藻每日特价</v>
      </c>
      <c r="W234" s="3"/>
      <c r="X234" s="5"/>
      <c r="Y234" s="6"/>
      <c r="Z234" s="7"/>
      <c r="AA234" s="3"/>
      <c r="AB234" s="5"/>
      <c r="AC234" s="6"/>
      <c r="AD234" s="7"/>
      <c r="AE234" s="3"/>
      <c r="AF234" s="5"/>
      <c r="AG234" s="6"/>
      <c r="AH234" s="7"/>
      <c r="AI234" s="2"/>
      <c r="AJ234" s="2"/>
      <c r="AK234" s="2"/>
      <c r="AL234" s="2"/>
      <c r="AM234" s="3"/>
      <c r="AN234" s="5"/>
      <c r="AO234" s="6"/>
      <c r="AP234" s="7"/>
      <c r="AQ234" s="3"/>
      <c r="AR234" s="5"/>
      <c r="AS234" s="6"/>
      <c r="AT234" s="7"/>
      <c r="AU234" s="3"/>
      <c r="AV234" s="5"/>
      <c r="AW234" s="6"/>
      <c r="AX234" s="7"/>
      <c r="AY234" s="2"/>
      <c r="AZ234" s="2"/>
      <c r="BA234" s="2"/>
      <c r="BB234" s="2"/>
      <c r="BC234" s="3"/>
      <c r="BD234" s="5"/>
      <c r="BE234" s="6"/>
      <c r="BF234" s="7"/>
      <c r="BG234" s="3"/>
      <c r="BH234" s="5"/>
      <c r="BI234" s="6"/>
      <c r="BJ234" s="7"/>
      <c r="BK234" s="3"/>
      <c r="BL234" s="5"/>
      <c r="BM234" s="6"/>
      <c r="BN234" s="7"/>
      <c r="BO234" s="2"/>
      <c r="BP234" s="2"/>
      <c r="BQ234" s="2"/>
      <c r="BR234" s="2"/>
    </row>
    <row r="235" spans="2:70" ht="18.75" customHeight="1" x14ac:dyDescent="0.25">
      <c r="B235" s="8" t="s">
        <v>785</v>
      </c>
      <c r="C235" s="3" t="s">
        <v>786</v>
      </c>
      <c r="D235" s="3" t="s">
        <v>544</v>
      </c>
      <c r="E235" s="10" t="s">
        <v>787</v>
      </c>
      <c r="F235" s="5" t="s">
        <v>118</v>
      </c>
      <c r="G235" s="6" t="str">
        <f ca="1">IFERROR(__xludf.DUMMYFUNCTION("GOOGLETRANSLATE(B235,""ja"",""ko"")"),"극단 매화와 토로 다시마 케 우동")</f>
        <v>극단 매화와 토로 다시마 케 우동</v>
      </c>
      <c r="H235" s="6"/>
      <c r="I235" s="7" t="str">
        <f ca="1">IFERROR(__xludf.DUMMYFUNCTION("GOOGLETRANSLATE(B235,""ja"",""zh"")"),"特粗梅子昆布乌冬面")</f>
        <v>特粗梅子昆布乌冬面</v>
      </c>
      <c r="J235" s="7"/>
      <c r="K235" s="3" t="s">
        <v>786</v>
      </c>
      <c r="L235" s="3" t="s">
        <v>544</v>
      </c>
      <c r="M235" s="10" t="s">
        <v>787</v>
      </c>
      <c r="N235" s="5" t="s">
        <v>118</v>
      </c>
      <c r="O235" s="6" t="str">
        <f ca="1">IFERROR(__xludf.DUMMYFUNCTION("GOOGLETRANSLATE(B235,""ja"",""ko"")"),"극단 매화와 토로 다시마 케 우동")</f>
        <v>극단 매화와 토로 다시마 케 우동</v>
      </c>
      <c r="P235" s="6"/>
      <c r="Q235" s="7" t="str">
        <f ca="1">IFERROR(__xludf.DUMMYFUNCTION("GOOGLETRANSLATE(B235,""ja"",""zh"")"),"特粗梅子昆布乌冬面")</f>
        <v>特粗梅子昆布乌冬面</v>
      </c>
      <c r="R235" s="7"/>
      <c r="S235" s="3" t="s">
        <v>786</v>
      </c>
      <c r="T235" s="5" t="str">
        <f ca="1">IFERROR(__xludf.DUMMYFUNCTION("GOOGLETRANSLATE(S235,""ja"",""en"")"),"Extra thick plum and melted kelp")</f>
        <v>Extra thick plum and melted kelp</v>
      </c>
      <c r="U235" s="6" t="str">
        <f ca="1">IFERROR(__xludf.DUMMYFUNCTION("GOOGLETRANSLATE(S235,""ja"",""ko"")"),"극단 매화와 토로 다시마")</f>
        <v>극단 매화와 토로 다시마</v>
      </c>
      <c r="V235" s="7" t="str">
        <f ca="1">IFERROR(__xludf.DUMMYFUNCTION("GOOGLETRANSLATE(S235,""ja"",""zh"")"),"特厚梅子和融化的海带")</f>
        <v>特厚梅子和融化的海带</v>
      </c>
      <c r="W235" s="3"/>
      <c r="X235" s="5"/>
      <c r="Y235" s="6"/>
      <c r="Z235" s="7"/>
      <c r="AA235" s="3"/>
      <c r="AB235" s="5"/>
      <c r="AC235" s="6"/>
      <c r="AD235" s="7"/>
      <c r="AE235" s="3"/>
      <c r="AF235" s="5"/>
      <c r="AG235" s="6"/>
      <c r="AH235" s="7"/>
      <c r="AI235" s="2"/>
      <c r="AJ235" s="2"/>
      <c r="AK235" s="2"/>
      <c r="AL235" s="2"/>
      <c r="AM235" s="3"/>
      <c r="AN235" s="5"/>
      <c r="AO235" s="6"/>
      <c r="AP235" s="7"/>
      <c r="AQ235" s="3"/>
      <c r="AR235" s="5"/>
      <c r="AS235" s="6"/>
      <c r="AT235" s="7"/>
      <c r="AU235" s="3"/>
      <c r="AV235" s="5"/>
      <c r="AW235" s="6"/>
      <c r="AX235" s="7"/>
      <c r="AY235" s="2"/>
      <c r="AZ235" s="2"/>
      <c r="BA235" s="2"/>
      <c r="BB235" s="2"/>
      <c r="BC235" s="3"/>
      <c r="BD235" s="5"/>
      <c r="BE235" s="6"/>
      <c r="BF235" s="7"/>
      <c r="BG235" s="3"/>
      <c r="BH235" s="5"/>
      <c r="BI235" s="6"/>
      <c r="BJ235" s="7"/>
      <c r="BK235" s="3"/>
      <c r="BL235" s="5"/>
      <c r="BM235" s="6"/>
      <c r="BN235" s="7"/>
      <c r="BO235" s="2"/>
      <c r="BP235" s="2"/>
      <c r="BQ235" s="2"/>
      <c r="BR235" s="2"/>
    </row>
    <row r="236" spans="2:70" ht="18.75" customHeight="1" x14ac:dyDescent="0.25">
      <c r="B236" s="8" t="s">
        <v>788</v>
      </c>
      <c r="C236" s="3" t="s">
        <v>789</v>
      </c>
      <c r="D236" s="3" t="s">
        <v>544</v>
      </c>
      <c r="E236" s="10" t="s">
        <v>787</v>
      </c>
      <c r="F236" s="5" t="s">
        <v>118</v>
      </c>
      <c r="G236" s="6" t="str">
        <f ca="1">IFERROR(__xludf.DUMMYFUNCTION("GOOGLETRANSLATE(B236,""ja"",""ko"")"),"푸른 노리 매화와 토로 다시마 케 우동")</f>
        <v>푸른 노리 매화와 토로 다시마 케 우동</v>
      </c>
      <c r="H236" s="6"/>
      <c r="I236" s="7" t="str">
        <f ca="1">IFERROR(__xludf.DUMMYFUNCTION("GOOGLETRANSLATE(B236,""ja"",""zh"")"),"绿海藻、梅子和融化的昆布乌冬面")</f>
        <v>绿海藻、梅子和融化的昆布乌冬面</v>
      </c>
      <c r="J236" s="7"/>
      <c r="K236" s="3" t="s">
        <v>789</v>
      </c>
      <c r="L236" s="3" t="s">
        <v>544</v>
      </c>
      <c r="M236" s="10" t="s">
        <v>787</v>
      </c>
      <c r="N236" s="5" t="s">
        <v>118</v>
      </c>
      <c r="O236" s="6" t="str">
        <f ca="1">IFERROR(__xludf.DUMMYFUNCTION("GOOGLETRANSLATE(B236,""ja"",""ko"")"),"푸른 노리 매화와 토로 다시마 케 우동")</f>
        <v>푸른 노리 매화와 토로 다시마 케 우동</v>
      </c>
      <c r="P236" s="6"/>
      <c r="Q236" s="7" t="str">
        <f ca="1">IFERROR(__xludf.DUMMYFUNCTION("GOOGLETRANSLATE(B236,""ja"",""zh"")"),"绿海藻、梅子和融化的昆布乌冬面")</f>
        <v>绿海藻、梅子和融化的昆布乌冬面</v>
      </c>
      <c r="R236" s="7"/>
      <c r="S236" s="3" t="s">
        <v>789</v>
      </c>
      <c r="T236" s="5" t="str">
        <f ca="1">IFERROR(__xludf.DUMMYFUNCTION("GOOGLETRANSLATE(S236,""ja"",""en"")"),"Aonori, plum and melted kelp")</f>
        <v>Aonori, plum and melted kelp</v>
      </c>
      <c r="U236" s="6" t="str">
        <f ca="1">IFERROR(__xludf.DUMMYFUNCTION("GOOGLETRANSLATE(S236,""ja"",""ko"")"),"블루 노리 매화와 토로 다시마")</f>
        <v>블루 노리 매화와 토로 다시마</v>
      </c>
      <c r="V236" s="7" t="str">
        <f ca="1">IFERROR(__xludf.DUMMYFUNCTION("GOOGLETRANSLATE(S236,""ja"",""zh"")"),"青海苔、梅子和融化的海带")</f>
        <v>青海苔、梅子和融化的海带</v>
      </c>
      <c r="W236" s="3"/>
      <c r="X236" s="5"/>
      <c r="Y236" s="6"/>
      <c r="Z236" s="7"/>
      <c r="AA236" s="3"/>
      <c r="AB236" s="5"/>
      <c r="AC236" s="6"/>
      <c r="AD236" s="7"/>
      <c r="AE236" s="3"/>
      <c r="AF236" s="5"/>
      <c r="AG236" s="6"/>
      <c r="AH236" s="7"/>
      <c r="AI236" s="2"/>
      <c r="AJ236" s="2"/>
      <c r="AK236" s="2"/>
      <c r="AL236" s="2"/>
      <c r="AM236" s="3"/>
      <c r="AN236" s="5"/>
      <c r="AO236" s="6"/>
      <c r="AP236" s="7"/>
      <c r="AQ236" s="3"/>
      <c r="AR236" s="5"/>
      <c r="AS236" s="6"/>
      <c r="AT236" s="7"/>
      <c r="AU236" s="3"/>
      <c r="AV236" s="5"/>
      <c r="AW236" s="6"/>
      <c r="AX236" s="7"/>
      <c r="AY236" s="2"/>
      <c r="AZ236" s="2"/>
      <c r="BA236" s="2"/>
      <c r="BB236" s="2"/>
      <c r="BC236" s="3"/>
      <c r="BD236" s="5"/>
      <c r="BE236" s="6"/>
      <c r="BF236" s="7"/>
      <c r="BG236" s="3"/>
      <c r="BH236" s="5"/>
      <c r="BI236" s="6"/>
      <c r="BJ236" s="7"/>
      <c r="BK236" s="3"/>
      <c r="BL236" s="5"/>
      <c r="BM236" s="6"/>
      <c r="BN236" s="7"/>
      <c r="BO236" s="2"/>
      <c r="BP236" s="2"/>
      <c r="BQ236" s="2"/>
      <c r="BR236" s="2"/>
    </row>
    <row r="237" spans="2:70" ht="18.75" customHeight="1" x14ac:dyDescent="0.25">
      <c r="B237" s="8" t="s">
        <v>790</v>
      </c>
      <c r="C237" s="3" t="s">
        <v>790</v>
      </c>
      <c r="D237" s="3"/>
      <c r="E237" s="5" t="s">
        <v>791</v>
      </c>
      <c r="F237" s="5" t="s">
        <v>118</v>
      </c>
      <c r="G237" s="6" t="str">
        <f ca="1">IFERROR(__xludf.DUMMYFUNCTION("GOOGLETRANSLATE(B237,""ja"",""ko"")"),"극태 차가운 우동")</f>
        <v>극태 차가운 우동</v>
      </c>
      <c r="H237" s="6"/>
      <c r="I237" s="7" t="str">
        <f ca="1">IFERROR(__xludf.DUMMYFUNCTION("GOOGLETRANSLATE(B237,""ja"",""zh"")"),"特厚冷乌冬面")</f>
        <v>特厚冷乌冬面</v>
      </c>
      <c r="J237" s="7"/>
      <c r="K237" s="3" t="s">
        <v>790</v>
      </c>
      <c r="L237" s="3"/>
      <c r="M237" s="5" t="s">
        <v>791</v>
      </c>
      <c r="N237" s="5" t="s">
        <v>118</v>
      </c>
      <c r="O237" s="6" t="str">
        <f ca="1">IFERROR(__xludf.DUMMYFUNCTION("GOOGLETRANSLATE(B237,""ja"",""ko"")"),"극태 차가운 우동")</f>
        <v>극태 차가운 우동</v>
      </c>
      <c r="P237" s="6"/>
      <c r="Q237" s="7" t="str">
        <f ca="1">IFERROR(__xludf.DUMMYFUNCTION("GOOGLETRANSLATE(B237,""ja"",""zh"")"),"特厚冷乌冬面")</f>
        <v>特厚冷乌冬面</v>
      </c>
      <c r="R237" s="7"/>
      <c r="S237" s="3" t="s">
        <v>790</v>
      </c>
      <c r="T237" s="5" t="str">
        <f ca="1">IFERROR(__xludf.DUMMYFUNCTION("GOOGLETRANSLATE(S237,""ja"",""en"")"),"Extra thick cold udon")</f>
        <v>Extra thick cold udon</v>
      </c>
      <c r="U237" s="6" t="str">
        <f ca="1">IFERROR(__xludf.DUMMYFUNCTION("GOOGLETRANSLATE(S237,""ja"",""ko"")"),"극태 차가운 우동")</f>
        <v>극태 차가운 우동</v>
      </c>
      <c r="V237" s="7" t="str">
        <f ca="1">IFERROR(__xludf.DUMMYFUNCTION("GOOGLETRANSLATE(S237,""ja"",""zh"")"),"特厚冷乌冬面")</f>
        <v>特厚冷乌冬面</v>
      </c>
      <c r="W237" s="3"/>
      <c r="X237" s="5"/>
      <c r="Y237" s="6"/>
      <c r="Z237" s="7"/>
      <c r="AA237" s="3"/>
      <c r="AB237" s="5"/>
      <c r="AC237" s="6"/>
      <c r="AD237" s="7"/>
      <c r="AE237" s="3"/>
      <c r="AF237" s="5"/>
      <c r="AG237" s="6"/>
      <c r="AH237" s="7"/>
      <c r="AI237" s="2"/>
      <c r="AJ237" s="2"/>
      <c r="AK237" s="2"/>
      <c r="AL237" s="2"/>
      <c r="AM237" s="3"/>
      <c r="AN237" s="5"/>
      <c r="AO237" s="6"/>
      <c r="AP237" s="7"/>
      <c r="AQ237" s="3"/>
      <c r="AR237" s="5"/>
      <c r="AS237" s="6"/>
      <c r="AT237" s="7"/>
      <c r="AU237" s="3"/>
      <c r="AV237" s="5"/>
      <c r="AW237" s="6"/>
      <c r="AX237" s="7"/>
      <c r="AY237" s="2"/>
      <c r="AZ237" s="2"/>
      <c r="BA237" s="2"/>
      <c r="BB237" s="2"/>
      <c r="BC237" s="3"/>
      <c r="BD237" s="5"/>
      <c r="BE237" s="6"/>
      <c r="BF237" s="7"/>
      <c r="BG237" s="3"/>
      <c r="BH237" s="5"/>
      <c r="BI237" s="6"/>
      <c r="BJ237" s="7"/>
      <c r="BK237" s="3"/>
      <c r="BL237" s="5"/>
      <c r="BM237" s="6"/>
      <c r="BN237" s="7"/>
      <c r="BO237" s="2"/>
      <c r="BP237" s="2"/>
      <c r="BQ237" s="2"/>
      <c r="BR237" s="2"/>
    </row>
    <row r="238" spans="2:70" ht="18.75" customHeight="1" x14ac:dyDescent="0.25">
      <c r="B238" s="8" t="s">
        <v>792</v>
      </c>
      <c r="C238" s="3" t="s">
        <v>792</v>
      </c>
      <c r="D238" s="3"/>
      <c r="E238" s="5" t="s">
        <v>793</v>
      </c>
      <c r="F238" s="5" t="s">
        <v>118</v>
      </c>
      <c r="G238" s="6" t="str">
        <f ca="1">IFERROR(__xludf.DUMMYFUNCTION("GOOGLETRANSLATE(B238,""ja"",""ko"")"),"블루 노리 차가운 우동")</f>
        <v>블루 노리 차가운 우동</v>
      </c>
      <c r="H238" s="6"/>
      <c r="I238" s="7" t="str">
        <f ca="1">IFERROR(__xludf.DUMMYFUNCTION("GOOGLETRANSLATE(B238,""ja"",""zh"")"),"青海冷乌冬面")</f>
        <v>青海冷乌冬面</v>
      </c>
      <c r="J238" s="7"/>
      <c r="K238" s="3" t="s">
        <v>792</v>
      </c>
      <c r="L238" s="3"/>
      <c r="M238" s="5" t="s">
        <v>793</v>
      </c>
      <c r="N238" s="5" t="s">
        <v>118</v>
      </c>
      <c r="O238" s="6" t="str">
        <f ca="1">IFERROR(__xludf.DUMMYFUNCTION("GOOGLETRANSLATE(B238,""ja"",""ko"")"),"블루 노리 차가운 우동")</f>
        <v>블루 노리 차가운 우동</v>
      </c>
      <c r="P238" s="6"/>
      <c r="Q238" s="7" t="str">
        <f ca="1">IFERROR(__xludf.DUMMYFUNCTION("GOOGLETRANSLATE(B238,""ja"",""zh"")"),"青海冷乌冬面")</f>
        <v>青海冷乌冬面</v>
      </c>
      <c r="R238" s="7"/>
      <c r="S238" s="3" t="s">
        <v>792</v>
      </c>
      <c r="T238" s="5" t="str">
        <f ca="1">IFERROR(__xludf.DUMMYFUNCTION("GOOGLETRANSLATE(S238,""ja"",""en"")"),"Aonori chilled udon")</f>
        <v>Aonori chilled udon</v>
      </c>
      <c r="U238" s="6" t="str">
        <f ca="1">IFERROR(__xludf.DUMMYFUNCTION("GOOGLETRANSLATE(S238,""ja"",""ko"")"),"블루 노리 차가운 우동")</f>
        <v>블루 노리 차가운 우동</v>
      </c>
      <c r="V238" s="7" t="str">
        <f ca="1">IFERROR(__xludf.DUMMYFUNCTION("GOOGLETRANSLATE(S238,""ja"",""zh"")"),"青海冷乌冬面")</f>
        <v>青海冷乌冬面</v>
      </c>
      <c r="W238" s="3"/>
      <c r="X238" s="5"/>
      <c r="Y238" s="6"/>
      <c r="Z238" s="7"/>
      <c r="AA238" s="3"/>
      <c r="AB238" s="5"/>
      <c r="AC238" s="6"/>
      <c r="AD238" s="7"/>
      <c r="AE238" s="3"/>
      <c r="AF238" s="5"/>
      <c r="AG238" s="6"/>
      <c r="AH238" s="7"/>
      <c r="AI238" s="2"/>
      <c r="AJ238" s="2"/>
      <c r="AK238" s="2"/>
      <c r="AL238" s="2"/>
      <c r="AM238" s="3"/>
      <c r="AN238" s="5"/>
      <c r="AO238" s="6"/>
      <c r="AP238" s="7"/>
      <c r="AQ238" s="3"/>
      <c r="AR238" s="5"/>
      <c r="AS238" s="6"/>
      <c r="AT238" s="7"/>
      <c r="AU238" s="3"/>
      <c r="AV238" s="5"/>
      <c r="AW238" s="6"/>
      <c r="AX238" s="7"/>
      <c r="AY238" s="2"/>
      <c r="AZ238" s="2"/>
      <c r="BA238" s="2"/>
      <c r="BB238" s="2"/>
      <c r="BC238" s="3"/>
      <c r="BD238" s="5"/>
      <c r="BE238" s="6"/>
      <c r="BF238" s="7"/>
      <c r="BG238" s="3"/>
      <c r="BH238" s="5"/>
      <c r="BI238" s="6"/>
      <c r="BJ238" s="7"/>
      <c r="BK238" s="3"/>
      <c r="BL238" s="5"/>
      <c r="BM238" s="6"/>
      <c r="BN238" s="7"/>
      <c r="BO238" s="2"/>
      <c r="BP238" s="2"/>
      <c r="BQ238" s="2"/>
      <c r="BR238" s="2"/>
    </row>
    <row r="239" spans="2:70" ht="18.75" customHeight="1" x14ac:dyDescent="0.25"/>
    <row r="240" spans="2:70" ht="18.75" customHeight="1" x14ac:dyDescent="0.25"/>
    <row r="241" ht="18.75" customHeight="1" x14ac:dyDescent="0.25"/>
    <row r="242" ht="18.75" customHeight="1" x14ac:dyDescent="0.25"/>
    <row r="243" ht="18.75" customHeight="1" x14ac:dyDescent="0.25"/>
    <row r="244" ht="18.75" customHeight="1" x14ac:dyDescent="0.25"/>
    <row r="245" ht="18.75" customHeight="1" x14ac:dyDescent="0.25"/>
    <row r="246" ht="18.75" customHeight="1" x14ac:dyDescent="0.25"/>
    <row r="247" ht="18.75" customHeight="1" x14ac:dyDescent="0.25"/>
    <row r="248" ht="18.75" customHeight="1" x14ac:dyDescent="0.25"/>
    <row r="249" ht="18.75" customHeight="1" x14ac:dyDescent="0.25"/>
    <row r="250" ht="18.75" customHeight="1" x14ac:dyDescent="0.25"/>
    <row r="251" ht="18.75" customHeight="1" x14ac:dyDescent="0.25"/>
    <row r="252" ht="18.75" customHeight="1" x14ac:dyDescent="0.25"/>
    <row r="253" ht="18.75" customHeight="1" x14ac:dyDescent="0.25"/>
    <row r="254" ht="18.75" customHeight="1" x14ac:dyDescent="0.25"/>
    <row r="255" ht="18.75" customHeight="1" x14ac:dyDescent="0.25"/>
    <row r="256" ht="18.75" customHeight="1" x14ac:dyDescent="0.25"/>
    <row r="257" ht="18.75" customHeight="1" x14ac:dyDescent="0.25"/>
    <row r="258" ht="18.75" customHeight="1" x14ac:dyDescent="0.25"/>
    <row r="259" ht="18.75" customHeight="1" x14ac:dyDescent="0.25"/>
    <row r="260" ht="18.75" customHeight="1" x14ac:dyDescent="0.25"/>
    <row r="261" ht="18.75" customHeight="1" x14ac:dyDescent="0.25"/>
    <row r="262" ht="18.75" customHeight="1" x14ac:dyDescent="0.25"/>
    <row r="263" ht="18.75" customHeight="1" x14ac:dyDescent="0.25"/>
    <row r="264" ht="18.75" customHeight="1" x14ac:dyDescent="0.25"/>
    <row r="265" ht="18.75" customHeight="1" x14ac:dyDescent="0.25"/>
    <row r="266" ht="18.75" customHeight="1" x14ac:dyDescent="0.25"/>
    <row r="267" ht="18.75" customHeight="1" x14ac:dyDescent="0.25"/>
    <row r="268" ht="18.75" customHeight="1" x14ac:dyDescent="0.25"/>
    <row r="269" ht="18.75" customHeight="1" x14ac:dyDescent="0.25"/>
    <row r="270" ht="18.75" customHeight="1" x14ac:dyDescent="0.25"/>
    <row r="271" ht="18.75" customHeight="1" x14ac:dyDescent="0.25"/>
    <row r="272" ht="18.75" customHeight="1" x14ac:dyDescent="0.25"/>
    <row r="273" ht="18.75" customHeight="1" x14ac:dyDescent="0.25"/>
    <row r="274" ht="18.75" customHeight="1" x14ac:dyDescent="0.25"/>
    <row r="275" ht="18.75" customHeight="1" x14ac:dyDescent="0.25"/>
    <row r="276" ht="18.75" customHeight="1" x14ac:dyDescent="0.25"/>
    <row r="277" ht="18.75" customHeight="1" x14ac:dyDescent="0.25"/>
    <row r="278" ht="18.75" customHeight="1" x14ac:dyDescent="0.25"/>
    <row r="279" ht="18.75" customHeight="1" x14ac:dyDescent="0.25"/>
    <row r="280" ht="18.75" customHeight="1" x14ac:dyDescent="0.25"/>
    <row r="281" ht="18.75" customHeight="1" x14ac:dyDescent="0.25"/>
    <row r="282" ht="18.75" customHeight="1" x14ac:dyDescent="0.25"/>
    <row r="283" ht="18.75" customHeight="1" x14ac:dyDescent="0.25"/>
    <row r="284" ht="18.75" customHeight="1" x14ac:dyDescent="0.25"/>
    <row r="285" ht="18.75" customHeight="1" x14ac:dyDescent="0.25"/>
    <row r="286" ht="18.75" customHeight="1" x14ac:dyDescent="0.25"/>
    <row r="287" ht="18.75" customHeight="1" x14ac:dyDescent="0.25"/>
    <row r="288" ht="18.75" customHeight="1" x14ac:dyDescent="0.25"/>
    <row r="289" ht="18.75" customHeight="1" x14ac:dyDescent="0.25"/>
    <row r="290" ht="18.75" customHeight="1" x14ac:dyDescent="0.25"/>
    <row r="291" ht="18.75" customHeight="1" x14ac:dyDescent="0.25"/>
    <row r="292" ht="18.75" customHeight="1" x14ac:dyDescent="0.25"/>
    <row r="293" ht="18.75" customHeight="1" x14ac:dyDescent="0.25"/>
    <row r="294" ht="18.75" customHeight="1" x14ac:dyDescent="0.25"/>
    <row r="295" ht="18.75" customHeight="1" x14ac:dyDescent="0.25"/>
    <row r="296" ht="18.75" customHeight="1" x14ac:dyDescent="0.25"/>
    <row r="297" ht="18.75" customHeight="1" x14ac:dyDescent="0.25"/>
    <row r="298" ht="18.75" customHeight="1" x14ac:dyDescent="0.25"/>
    <row r="299" ht="18.75" customHeight="1" x14ac:dyDescent="0.25"/>
    <row r="300" ht="18.75" customHeight="1" x14ac:dyDescent="0.25"/>
    <row r="301" ht="18.75" customHeight="1" x14ac:dyDescent="0.25"/>
    <row r="302" ht="18.75" customHeight="1" x14ac:dyDescent="0.25"/>
    <row r="303" ht="18.75" customHeight="1" x14ac:dyDescent="0.25"/>
    <row r="304" ht="18.75" customHeight="1" x14ac:dyDescent="0.25"/>
    <row r="305" ht="18.75" customHeight="1" x14ac:dyDescent="0.25"/>
    <row r="306" ht="18.75" customHeight="1" x14ac:dyDescent="0.25"/>
    <row r="307" ht="18.75" customHeight="1" x14ac:dyDescent="0.25"/>
    <row r="308" ht="18.75" customHeight="1" x14ac:dyDescent="0.25"/>
    <row r="309" ht="18.75" customHeight="1" x14ac:dyDescent="0.25"/>
    <row r="310" ht="18.75" customHeight="1" x14ac:dyDescent="0.25"/>
    <row r="311" ht="18.75" customHeight="1" x14ac:dyDescent="0.25"/>
    <row r="312" ht="18.75" customHeight="1" x14ac:dyDescent="0.25"/>
    <row r="313" ht="18.75" customHeight="1" x14ac:dyDescent="0.25"/>
    <row r="314" ht="18.75" customHeight="1" x14ac:dyDescent="0.25"/>
    <row r="315" ht="18.75" customHeight="1" x14ac:dyDescent="0.25"/>
    <row r="316" ht="18.75" customHeight="1" x14ac:dyDescent="0.25"/>
    <row r="317" ht="18.75" customHeight="1" x14ac:dyDescent="0.25"/>
    <row r="318" ht="18.75" customHeight="1" x14ac:dyDescent="0.25"/>
    <row r="319" ht="18.75" customHeight="1" x14ac:dyDescent="0.25"/>
    <row r="320" ht="18.75" customHeight="1" x14ac:dyDescent="0.25"/>
    <row r="321" ht="18.75" customHeight="1" x14ac:dyDescent="0.25"/>
    <row r="322" ht="18.75" customHeight="1" x14ac:dyDescent="0.25"/>
    <row r="323" ht="18.75" customHeight="1" x14ac:dyDescent="0.25"/>
    <row r="324" ht="18.75" customHeight="1" x14ac:dyDescent="0.25"/>
    <row r="325" ht="18.75" customHeight="1" x14ac:dyDescent="0.25"/>
    <row r="326" ht="18.75" customHeight="1" x14ac:dyDescent="0.25"/>
    <row r="327" ht="18.75" customHeight="1" x14ac:dyDescent="0.25"/>
    <row r="328" ht="18.75" customHeight="1" x14ac:dyDescent="0.25"/>
    <row r="329" ht="18.75" customHeight="1" x14ac:dyDescent="0.25"/>
    <row r="330" ht="18.75" customHeight="1" x14ac:dyDescent="0.25"/>
    <row r="331" ht="18.75" customHeight="1" x14ac:dyDescent="0.25"/>
    <row r="332" ht="18.75" customHeight="1" x14ac:dyDescent="0.25"/>
    <row r="333" ht="18.75" customHeight="1" x14ac:dyDescent="0.25"/>
    <row r="334" ht="18.75" customHeight="1" x14ac:dyDescent="0.25"/>
    <row r="335" ht="18.75" customHeight="1" x14ac:dyDescent="0.25"/>
    <row r="336" ht="18.75" customHeight="1" x14ac:dyDescent="0.25"/>
    <row r="337" ht="18.75" customHeight="1" x14ac:dyDescent="0.25"/>
    <row r="338" ht="18.75" customHeight="1" x14ac:dyDescent="0.25"/>
    <row r="339" ht="18.75" customHeight="1" x14ac:dyDescent="0.25"/>
    <row r="340" ht="18.75" customHeight="1" x14ac:dyDescent="0.25"/>
    <row r="341" ht="18.75" customHeight="1" x14ac:dyDescent="0.25"/>
    <row r="342" ht="18.75" customHeight="1" x14ac:dyDescent="0.25"/>
    <row r="343" ht="18.75" customHeight="1" x14ac:dyDescent="0.25"/>
    <row r="344" ht="18.75" customHeight="1" x14ac:dyDescent="0.25"/>
    <row r="345" ht="18.75" customHeight="1" x14ac:dyDescent="0.25"/>
    <row r="346" ht="18.75" customHeight="1" x14ac:dyDescent="0.25"/>
    <row r="347" ht="18.75" customHeight="1" x14ac:dyDescent="0.25"/>
    <row r="348" ht="18.75" customHeight="1" x14ac:dyDescent="0.25"/>
    <row r="349" ht="18.75" customHeight="1" x14ac:dyDescent="0.25"/>
    <row r="350" ht="18.75" customHeight="1" x14ac:dyDescent="0.25"/>
    <row r="351" ht="18.75" customHeight="1" x14ac:dyDescent="0.25"/>
    <row r="352" ht="18.75" customHeight="1" x14ac:dyDescent="0.25"/>
    <row r="353" ht="18.75" customHeight="1" x14ac:dyDescent="0.25"/>
    <row r="354" ht="18.75" customHeight="1" x14ac:dyDescent="0.25"/>
    <row r="355" ht="18.75" customHeight="1" x14ac:dyDescent="0.25"/>
    <row r="356" ht="18.75" customHeight="1" x14ac:dyDescent="0.25"/>
    <row r="357" ht="18.75" customHeight="1" x14ac:dyDescent="0.25"/>
    <row r="358" ht="18.75" customHeight="1" x14ac:dyDescent="0.25"/>
    <row r="359" ht="18.75" customHeight="1" x14ac:dyDescent="0.25"/>
    <row r="360" ht="18.75" customHeight="1" x14ac:dyDescent="0.25"/>
    <row r="361" ht="18.75" customHeight="1" x14ac:dyDescent="0.25"/>
    <row r="362" ht="18.75" customHeight="1" x14ac:dyDescent="0.25"/>
    <row r="363" ht="18.75" customHeight="1" x14ac:dyDescent="0.25"/>
    <row r="364" ht="18.75" customHeight="1" x14ac:dyDescent="0.25"/>
    <row r="365" ht="18.75" customHeight="1" x14ac:dyDescent="0.25"/>
    <row r="366" ht="18.75" customHeight="1" x14ac:dyDescent="0.25"/>
    <row r="367" ht="18.75" customHeight="1" x14ac:dyDescent="0.25"/>
    <row r="368" ht="18.75" customHeight="1" x14ac:dyDescent="0.25"/>
    <row r="369" ht="18.75" customHeight="1" x14ac:dyDescent="0.25"/>
    <row r="370" ht="18.75" customHeight="1" x14ac:dyDescent="0.25"/>
    <row r="371" ht="18.75" customHeight="1" x14ac:dyDescent="0.25"/>
    <row r="372" ht="18.75" customHeight="1" x14ac:dyDescent="0.25"/>
    <row r="373" ht="18.75" customHeight="1" x14ac:dyDescent="0.25"/>
    <row r="374" ht="18.75" customHeight="1" x14ac:dyDescent="0.25"/>
    <row r="375" ht="18.75" customHeight="1" x14ac:dyDescent="0.25"/>
    <row r="376" ht="18.75" customHeight="1" x14ac:dyDescent="0.25"/>
    <row r="377" ht="18.75" customHeight="1" x14ac:dyDescent="0.25"/>
    <row r="378" ht="18.75" customHeight="1" x14ac:dyDescent="0.25"/>
    <row r="379" ht="18.75" customHeight="1" x14ac:dyDescent="0.25"/>
    <row r="380" ht="18.75" customHeight="1" x14ac:dyDescent="0.25"/>
    <row r="381" ht="18.75" customHeight="1" x14ac:dyDescent="0.25"/>
    <row r="382" ht="18.75" customHeight="1" x14ac:dyDescent="0.25"/>
    <row r="383" ht="18.75" customHeight="1" x14ac:dyDescent="0.25"/>
    <row r="384" ht="18.75" customHeight="1" x14ac:dyDescent="0.25"/>
    <row r="385" ht="18.75" customHeight="1" x14ac:dyDescent="0.25"/>
    <row r="386" ht="18.75" customHeight="1" x14ac:dyDescent="0.25"/>
    <row r="387" ht="18.75" customHeight="1" x14ac:dyDescent="0.25"/>
    <row r="388" ht="18.75" customHeight="1" x14ac:dyDescent="0.25"/>
    <row r="389" ht="18.75" customHeight="1" x14ac:dyDescent="0.25"/>
    <row r="390" ht="18.75" customHeight="1" x14ac:dyDescent="0.25"/>
    <row r="391" ht="18.75" customHeight="1" x14ac:dyDescent="0.25"/>
    <row r="392" ht="18.75" customHeight="1" x14ac:dyDescent="0.25"/>
    <row r="393" ht="18.75" customHeight="1" x14ac:dyDescent="0.25"/>
    <row r="394" ht="18.75" customHeight="1" x14ac:dyDescent="0.25"/>
    <row r="395" ht="18.75" customHeight="1" x14ac:dyDescent="0.25"/>
    <row r="396" ht="18.75" customHeight="1" x14ac:dyDescent="0.25"/>
    <row r="397" ht="18.75" customHeight="1" x14ac:dyDescent="0.25"/>
    <row r="398" ht="18.75" customHeight="1" x14ac:dyDescent="0.25"/>
    <row r="399" ht="18.75" customHeight="1" x14ac:dyDescent="0.25"/>
    <row r="400" ht="18.75" customHeight="1" x14ac:dyDescent="0.25"/>
    <row r="401" ht="18.75" customHeight="1" x14ac:dyDescent="0.25"/>
    <row r="402" ht="18.75" customHeight="1" x14ac:dyDescent="0.25"/>
    <row r="403" ht="18.75" customHeight="1" x14ac:dyDescent="0.25"/>
    <row r="404" ht="18.75" customHeight="1" x14ac:dyDescent="0.25"/>
    <row r="405" ht="18.75" customHeight="1" x14ac:dyDescent="0.25"/>
    <row r="406" ht="18.75" customHeight="1" x14ac:dyDescent="0.25"/>
    <row r="407" ht="18.75" customHeight="1" x14ac:dyDescent="0.25"/>
    <row r="408" ht="18.75" customHeight="1" x14ac:dyDescent="0.25"/>
    <row r="409" ht="18.75" customHeight="1" x14ac:dyDescent="0.25"/>
    <row r="410" ht="18.75" customHeight="1" x14ac:dyDescent="0.25"/>
    <row r="411" ht="18.75" customHeight="1" x14ac:dyDescent="0.25"/>
    <row r="412" ht="18.75" customHeight="1" x14ac:dyDescent="0.25"/>
    <row r="413" ht="18.75" customHeight="1" x14ac:dyDescent="0.25"/>
    <row r="414" ht="18.75" customHeight="1" x14ac:dyDescent="0.25"/>
    <row r="415" ht="18.75" customHeight="1" x14ac:dyDescent="0.25"/>
    <row r="416" ht="18.75" customHeight="1" x14ac:dyDescent="0.25"/>
    <row r="417" ht="18.75" customHeight="1" x14ac:dyDescent="0.25"/>
    <row r="418" ht="18.75" customHeight="1" x14ac:dyDescent="0.25"/>
    <row r="419" ht="18.75" customHeight="1" x14ac:dyDescent="0.25"/>
    <row r="420" ht="18.75" customHeight="1" x14ac:dyDescent="0.25"/>
    <row r="421" ht="18.75" customHeight="1" x14ac:dyDescent="0.25"/>
    <row r="422" ht="18.75" customHeight="1" x14ac:dyDescent="0.25"/>
    <row r="423" ht="18.75" customHeight="1" x14ac:dyDescent="0.25"/>
    <row r="424" ht="18.75" customHeight="1" x14ac:dyDescent="0.25"/>
    <row r="425" ht="18.75" customHeight="1" x14ac:dyDescent="0.25"/>
    <row r="426" ht="18.75" customHeight="1" x14ac:dyDescent="0.25"/>
    <row r="427" ht="18.75" customHeight="1" x14ac:dyDescent="0.25"/>
    <row r="428" ht="18.75" customHeight="1" x14ac:dyDescent="0.25"/>
    <row r="429" ht="18.75" customHeight="1" x14ac:dyDescent="0.25"/>
    <row r="430" ht="18.75" customHeight="1" x14ac:dyDescent="0.25"/>
    <row r="431" ht="18.75" customHeight="1" x14ac:dyDescent="0.25"/>
    <row r="432" ht="18.75" customHeight="1" x14ac:dyDescent="0.25"/>
    <row r="433" ht="18.75" customHeight="1" x14ac:dyDescent="0.25"/>
    <row r="434" ht="18.75" customHeight="1" x14ac:dyDescent="0.25"/>
    <row r="435" ht="18.75" customHeight="1" x14ac:dyDescent="0.25"/>
    <row r="436" ht="18.75" customHeight="1" x14ac:dyDescent="0.25"/>
    <row r="437" ht="18.75" customHeight="1" x14ac:dyDescent="0.25"/>
    <row r="438" ht="18.75" customHeight="1" x14ac:dyDescent="0.25"/>
    <row r="439" ht="18.75" customHeight="1" x14ac:dyDescent="0.25"/>
    <row r="440" ht="18.75" customHeight="1" x14ac:dyDescent="0.25"/>
    <row r="441" ht="18.75" customHeight="1" x14ac:dyDescent="0.25"/>
    <row r="442" ht="18.75" customHeight="1" x14ac:dyDescent="0.25"/>
    <row r="443" ht="18.75" customHeight="1" x14ac:dyDescent="0.25"/>
    <row r="444" ht="18.75" customHeight="1" x14ac:dyDescent="0.25"/>
    <row r="445" ht="18.75" customHeight="1" x14ac:dyDescent="0.25"/>
    <row r="446" ht="18.75" customHeight="1" x14ac:dyDescent="0.25"/>
    <row r="447" ht="18.75" customHeight="1" x14ac:dyDescent="0.25"/>
    <row r="448" ht="18.75" customHeight="1" x14ac:dyDescent="0.25"/>
    <row r="449" ht="18.75" customHeight="1" x14ac:dyDescent="0.25"/>
    <row r="450" ht="18.75" customHeight="1" x14ac:dyDescent="0.25"/>
    <row r="451" ht="18.75" customHeight="1" x14ac:dyDescent="0.25"/>
    <row r="452" ht="18.75" customHeight="1" x14ac:dyDescent="0.25"/>
    <row r="453" ht="18.75" customHeight="1" x14ac:dyDescent="0.25"/>
    <row r="454" ht="18.75" customHeight="1" x14ac:dyDescent="0.25"/>
    <row r="455" ht="18.75" customHeight="1" x14ac:dyDescent="0.25"/>
    <row r="456" ht="18.75" customHeight="1" x14ac:dyDescent="0.25"/>
    <row r="457" ht="18.75" customHeight="1" x14ac:dyDescent="0.25"/>
    <row r="458" ht="18.75" customHeight="1" x14ac:dyDescent="0.25"/>
    <row r="459" ht="18.75" customHeight="1" x14ac:dyDescent="0.25"/>
    <row r="460" ht="18.75" customHeight="1" x14ac:dyDescent="0.25"/>
    <row r="461" ht="18.75" customHeight="1" x14ac:dyDescent="0.25"/>
    <row r="462" ht="18.75" customHeight="1" x14ac:dyDescent="0.25"/>
    <row r="463" ht="18.75" customHeight="1" x14ac:dyDescent="0.25"/>
    <row r="464" ht="18.75" customHeight="1" x14ac:dyDescent="0.25"/>
    <row r="465" ht="18.75" customHeight="1" x14ac:dyDescent="0.25"/>
    <row r="466" ht="18.75" customHeight="1" x14ac:dyDescent="0.25"/>
    <row r="467" ht="18.75" customHeight="1" x14ac:dyDescent="0.25"/>
    <row r="468" ht="18.75" customHeight="1" x14ac:dyDescent="0.25"/>
    <row r="469" ht="18.75" customHeight="1" x14ac:dyDescent="0.25"/>
    <row r="470" ht="18.75" customHeight="1" x14ac:dyDescent="0.25"/>
    <row r="471" ht="18.75" customHeight="1" x14ac:dyDescent="0.25"/>
    <row r="472" ht="18.75" customHeight="1" x14ac:dyDescent="0.25"/>
    <row r="473" ht="18.75" customHeight="1" x14ac:dyDescent="0.25"/>
    <row r="474" ht="18.75" customHeight="1" x14ac:dyDescent="0.25"/>
    <row r="475" ht="18.75" customHeight="1" x14ac:dyDescent="0.25"/>
    <row r="476" ht="18.75" customHeight="1" x14ac:dyDescent="0.25"/>
    <row r="477" ht="18.75" customHeight="1" x14ac:dyDescent="0.25"/>
    <row r="478" ht="18.75" customHeight="1" x14ac:dyDescent="0.25"/>
    <row r="479" ht="18.75" customHeight="1" x14ac:dyDescent="0.25"/>
    <row r="480" ht="18.75" customHeight="1" x14ac:dyDescent="0.25"/>
    <row r="481" ht="18.75" customHeight="1" x14ac:dyDescent="0.25"/>
    <row r="482" ht="18.75" customHeight="1" x14ac:dyDescent="0.25"/>
    <row r="483" ht="18.75" customHeight="1" x14ac:dyDescent="0.25"/>
    <row r="484" ht="18.75" customHeight="1" x14ac:dyDescent="0.25"/>
    <row r="485" ht="18.75" customHeight="1" x14ac:dyDescent="0.25"/>
    <row r="486" ht="18.75" customHeight="1" x14ac:dyDescent="0.25"/>
    <row r="487" ht="18.75" customHeight="1" x14ac:dyDescent="0.25"/>
    <row r="488" ht="18.75" customHeight="1" x14ac:dyDescent="0.25"/>
    <row r="489" ht="18.75" customHeight="1" x14ac:dyDescent="0.25"/>
    <row r="490" ht="18.75" customHeight="1" x14ac:dyDescent="0.25"/>
    <row r="491" ht="18.75" customHeight="1" x14ac:dyDescent="0.25"/>
    <row r="492" ht="18.75" customHeight="1" x14ac:dyDescent="0.25"/>
    <row r="493" ht="18.75" customHeight="1" x14ac:dyDescent="0.25"/>
    <row r="494" ht="18.75" customHeight="1" x14ac:dyDescent="0.25"/>
    <row r="495" ht="18.75" customHeight="1" x14ac:dyDescent="0.25"/>
    <row r="496" ht="18.75" customHeight="1" x14ac:dyDescent="0.25"/>
    <row r="497" ht="18.75" customHeight="1" x14ac:dyDescent="0.25"/>
    <row r="498" ht="18.75" customHeight="1" x14ac:dyDescent="0.25"/>
    <row r="499" ht="18.75" customHeight="1" x14ac:dyDescent="0.25"/>
    <row r="500" ht="18.75" customHeight="1" x14ac:dyDescent="0.25"/>
    <row r="501" ht="18.75" customHeight="1" x14ac:dyDescent="0.25"/>
    <row r="502" ht="18.75" customHeight="1" x14ac:dyDescent="0.25"/>
    <row r="503" ht="18.75" customHeight="1" x14ac:dyDescent="0.25"/>
    <row r="504" ht="18.75" customHeight="1" x14ac:dyDescent="0.25"/>
    <row r="505" ht="18.75" customHeight="1" x14ac:dyDescent="0.25"/>
    <row r="506" ht="18.75" customHeight="1" x14ac:dyDescent="0.25"/>
    <row r="507" ht="18.75" customHeight="1" x14ac:dyDescent="0.25"/>
    <row r="508" ht="18.75" customHeight="1" x14ac:dyDescent="0.25"/>
    <row r="509" ht="18.75" customHeight="1" x14ac:dyDescent="0.25"/>
    <row r="510" ht="18.75" customHeight="1" x14ac:dyDescent="0.25"/>
    <row r="511" ht="18.75" customHeight="1" x14ac:dyDescent="0.25"/>
    <row r="512" ht="18.75" customHeight="1" x14ac:dyDescent="0.25"/>
    <row r="513" ht="18.75" customHeight="1" x14ac:dyDescent="0.25"/>
    <row r="514" ht="18.75" customHeight="1" x14ac:dyDescent="0.25"/>
    <row r="515" ht="18.75" customHeight="1" x14ac:dyDescent="0.25"/>
    <row r="516" ht="18.75" customHeight="1" x14ac:dyDescent="0.25"/>
    <row r="517" ht="18.75" customHeight="1" x14ac:dyDescent="0.25"/>
    <row r="518" ht="18.75" customHeight="1" x14ac:dyDescent="0.25"/>
    <row r="519" ht="18.75" customHeight="1" x14ac:dyDescent="0.25"/>
    <row r="520" ht="18.75" customHeight="1" x14ac:dyDescent="0.25"/>
    <row r="521" ht="18.75" customHeight="1" x14ac:dyDescent="0.25"/>
    <row r="522" ht="18.75" customHeight="1" x14ac:dyDescent="0.25"/>
    <row r="523" ht="18.75" customHeight="1" x14ac:dyDescent="0.25"/>
    <row r="524" ht="18.75" customHeight="1" x14ac:dyDescent="0.25"/>
    <row r="525" ht="18.75" customHeight="1" x14ac:dyDescent="0.25"/>
    <row r="526" ht="18.75" customHeight="1" x14ac:dyDescent="0.25"/>
    <row r="527" ht="18.75" customHeight="1" x14ac:dyDescent="0.25"/>
    <row r="528" ht="18.75" customHeight="1" x14ac:dyDescent="0.25"/>
    <row r="529" ht="18.75" customHeight="1" x14ac:dyDescent="0.25"/>
    <row r="530" ht="18.75" customHeight="1" x14ac:dyDescent="0.25"/>
    <row r="531" ht="18.75" customHeight="1" x14ac:dyDescent="0.25"/>
    <row r="532" ht="18.75" customHeight="1" x14ac:dyDescent="0.25"/>
    <row r="533" ht="18.75" customHeight="1" x14ac:dyDescent="0.25"/>
    <row r="534" ht="18.75" customHeight="1" x14ac:dyDescent="0.25"/>
    <row r="535" ht="18.75" customHeight="1" x14ac:dyDescent="0.25"/>
    <row r="536" ht="18.75" customHeight="1" x14ac:dyDescent="0.25"/>
    <row r="537" ht="18.75" customHeight="1" x14ac:dyDescent="0.25"/>
    <row r="538" ht="18.75" customHeight="1" x14ac:dyDescent="0.25"/>
    <row r="539" ht="18.75" customHeight="1" x14ac:dyDescent="0.25"/>
    <row r="540" ht="18.75" customHeight="1" x14ac:dyDescent="0.25"/>
    <row r="541" ht="18.75" customHeight="1" x14ac:dyDescent="0.25"/>
    <row r="542" ht="18.75" customHeight="1" x14ac:dyDescent="0.25"/>
    <row r="543" ht="18.75" customHeight="1" x14ac:dyDescent="0.25"/>
    <row r="544" ht="18.75" customHeight="1" x14ac:dyDescent="0.25"/>
    <row r="545" ht="18.75" customHeight="1" x14ac:dyDescent="0.25"/>
    <row r="546" ht="18.75" customHeight="1" x14ac:dyDescent="0.25"/>
    <row r="547" ht="18.75" customHeight="1" x14ac:dyDescent="0.25"/>
    <row r="548" ht="18.75" customHeight="1" x14ac:dyDescent="0.25"/>
    <row r="549" ht="18.75" customHeight="1" x14ac:dyDescent="0.25"/>
    <row r="550" ht="18.75" customHeight="1" x14ac:dyDescent="0.25"/>
    <row r="551" ht="18.75" customHeight="1" x14ac:dyDescent="0.25"/>
    <row r="552" ht="18.75" customHeight="1" x14ac:dyDescent="0.25"/>
    <row r="553" ht="18.75" customHeight="1" x14ac:dyDescent="0.25"/>
    <row r="554" ht="18.75" customHeight="1" x14ac:dyDescent="0.25"/>
    <row r="555" ht="18.75" customHeight="1" x14ac:dyDescent="0.25"/>
    <row r="556" ht="18.75" customHeight="1" x14ac:dyDescent="0.25"/>
    <row r="557" ht="18.75" customHeight="1" x14ac:dyDescent="0.25"/>
    <row r="558" ht="18.75" customHeight="1" x14ac:dyDescent="0.25"/>
    <row r="559" ht="18.75" customHeight="1" x14ac:dyDescent="0.25"/>
    <row r="560" ht="18.75" customHeight="1" x14ac:dyDescent="0.25"/>
    <row r="561" ht="18.75" customHeight="1" x14ac:dyDescent="0.25"/>
    <row r="562" ht="18.75" customHeight="1" x14ac:dyDescent="0.25"/>
    <row r="563" ht="18.75" customHeight="1" x14ac:dyDescent="0.25"/>
    <row r="564" ht="18.75" customHeight="1" x14ac:dyDescent="0.25"/>
    <row r="565" ht="18.75" customHeight="1" x14ac:dyDescent="0.25"/>
    <row r="566" ht="18.75" customHeight="1" x14ac:dyDescent="0.25"/>
    <row r="567" ht="18.75" customHeight="1" x14ac:dyDescent="0.25"/>
    <row r="568" ht="18.75" customHeight="1" x14ac:dyDescent="0.25"/>
    <row r="569" ht="18.75" customHeight="1" x14ac:dyDescent="0.25"/>
    <row r="570" ht="18.75" customHeight="1" x14ac:dyDescent="0.25"/>
    <row r="571" ht="18.75" customHeight="1" x14ac:dyDescent="0.25"/>
    <row r="572" ht="18.75" customHeight="1" x14ac:dyDescent="0.25"/>
    <row r="573" ht="18.75" customHeight="1" x14ac:dyDescent="0.25"/>
    <row r="574" ht="18.75" customHeight="1" x14ac:dyDescent="0.25"/>
    <row r="575" ht="18.75" customHeight="1" x14ac:dyDescent="0.25"/>
    <row r="576" ht="18.75" customHeight="1" x14ac:dyDescent="0.25"/>
    <row r="577" ht="18.75" customHeight="1" x14ac:dyDescent="0.25"/>
    <row r="578" ht="18.75" customHeight="1" x14ac:dyDescent="0.25"/>
    <row r="579" ht="18.75" customHeight="1" x14ac:dyDescent="0.25"/>
    <row r="580" ht="18.75" customHeight="1" x14ac:dyDescent="0.25"/>
    <row r="581" ht="18.75" customHeight="1" x14ac:dyDescent="0.25"/>
    <row r="582" ht="18.75" customHeight="1" x14ac:dyDescent="0.25"/>
    <row r="583" ht="18.75" customHeight="1" x14ac:dyDescent="0.25"/>
    <row r="584" ht="18.75" customHeight="1" x14ac:dyDescent="0.25"/>
    <row r="585" ht="18.75" customHeight="1" x14ac:dyDescent="0.25"/>
    <row r="586" ht="18.75" customHeight="1" x14ac:dyDescent="0.25"/>
    <row r="587" ht="18.75" customHeight="1" x14ac:dyDescent="0.25"/>
    <row r="588" ht="18.75" customHeight="1" x14ac:dyDescent="0.25"/>
    <row r="589" ht="18.75" customHeight="1" x14ac:dyDescent="0.25"/>
    <row r="590" ht="18.75" customHeight="1" x14ac:dyDescent="0.25"/>
    <row r="591" ht="18.75" customHeight="1" x14ac:dyDescent="0.25"/>
    <row r="592" ht="18.75" customHeight="1" x14ac:dyDescent="0.25"/>
    <row r="593" ht="18.75" customHeight="1" x14ac:dyDescent="0.25"/>
    <row r="594" ht="18.75" customHeight="1" x14ac:dyDescent="0.25"/>
    <row r="595" ht="18.75" customHeight="1" x14ac:dyDescent="0.25"/>
    <row r="596" ht="18.75" customHeight="1" x14ac:dyDescent="0.25"/>
    <row r="597" ht="18.75" customHeight="1" x14ac:dyDescent="0.25"/>
    <row r="598" ht="18.75" customHeight="1" x14ac:dyDescent="0.25"/>
    <row r="599" ht="18.75" customHeight="1" x14ac:dyDescent="0.25"/>
    <row r="600" ht="18.75" customHeight="1" x14ac:dyDescent="0.25"/>
    <row r="601" ht="18.75" customHeight="1" x14ac:dyDescent="0.25"/>
    <row r="602" ht="18.75" customHeight="1" x14ac:dyDescent="0.25"/>
    <row r="603" ht="18.75" customHeight="1" x14ac:dyDescent="0.25"/>
    <row r="604" ht="18.75" customHeight="1" x14ac:dyDescent="0.25"/>
    <row r="605" ht="18.75" customHeight="1" x14ac:dyDescent="0.25"/>
    <row r="606" ht="18.75" customHeight="1" x14ac:dyDescent="0.25"/>
    <row r="607" ht="18.75" customHeight="1" x14ac:dyDescent="0.25"/>
    <row r="608" ht="18.75" customHeight="1" x14ac:dyDescent="0.25"/>
    <row r="609" ht="18.75" customHeight="1" x14ac:dyDescent="0.25"/>
    <row r="610" ht="18.75" customHeight="1" x14ac:dyDescent="0.25"/>
    <row r="611" ht="18.75" customHeight="1" x14ac:dyDescent="0.25"/>
    <row r="612" ht="18.75" customHeight="1" x14ac:dyDescent="0.25"/>
    <row r="613" ht="18.75" customHeight="1" x14ac:dyDescent="0.25"/>
    <row r="614" ht="18.75" customHeight="1" x14ac:dyDescent="0.25"/>
    <row r="615" ht="18.75" customHeight="1" x14ac:dyDescent="0.25"/>
    <row r="616" ht="18.75" customHeight="1" x14ac:dyDescent="0.25"/>
    <row r="617" ht="18.75" customHeight="1" x14ac:dyDescent="0.25"/>
    <row r="618" ht="18.75" customHeight="1" x14ac:dyDescent="0.25"/>
    <row r="619" ht="18.75" customHeight="1" x14ac:dyDescent="0.25"/>
    <row r="620" ht="18.75" customHeight="1" x14ac:dyDescent="0.25"/>
    <row r="621" ht="18.75" customHeight="1" x14ac:dyDescent="0.25"/>
    <row r="622" ht="18.75" customHeight="1" x14ac:dyDescent="0.25"/>
    <row r="623" ht="18.75" customHeight="1" x14ac:dyDescent="0.25"/>
    <row r="624" ht="18.75" customHeight="1" x14ac:dyDescent="0.25"/>
    <row r="625" ht="18.75" customHeight="1" x14ac:dyDescent="0.25"/>
    <row r="626" ht="18.75" customHeight="1" x14ac:dyDescent="0.25"/>
    <row r="627" ht="18.75" customHeight="1" x14ac:dyDescent="0.25"/>
    <row r="628" ht="18.75" customHeight="1" x14ac:dyDescent="0.25"/>
    <row r="629" ht="18.75" customHeight="1" x14ac:dyDescent="0.25"/>
    <row r="630" ht="18.75" customHeight="1" x14ac:dyDescent="0.25"/>
    <row r="631" ht="18.75" customHeight="1" x14ac:dyDescent="0.25"/>
    <row r="632" ht="18.75" customHeight="1" x14ac:dyDescent="0.25"/>
    <row r="633" ht="18.75" customHeight="1" x14ac:dyDescent="0.25"/>
    <row r="634" ht="18.75" customHeight="1" x14ac:dyDescent="0.25"/>
    <row r="635" ht="18.75" customHeight="1" x14ac:dyDescent="0.25"/>
    <row r="636" ht="18.75" customHeight="1" x14ac:dyDescent="0.25"/>
    <row r="637" ht="18.75" customHeight="1" x14ac:dyDescent="0.25"/>
    <row r="638" ht="18.75" customHeight="1" x14ac:dyDescent="0.25"/>
    <row r="639" ht="18.75" customHeight="1" x14ac:dyDescent="0.25"/>
    <row r="640" ht="18.75" customHeight="1" x14ac:dyDescent="0.25"/>
    <row r="641" ht="18.75" customHeight="1" x14ac:dyDescent="0.25"/>
    <row r="642" ht="18.75" customHeight="1" x14ac:dyDescent="0.25"/>
    <row r="643" ht="18.75" customHeight="1" x14ac:dyDescent="0.25"/>
    <row r="644" ht="18.75" customHeight="1" x14ac:dyDescent="0.25"/>
    <row r="645" ht="18.75" customHeight="1" x14ac:dyDescent="0.25"/>
    <row r="646" ht="18.75" customHeight="1" x14ac:dyDescent="0.25"/>
    <row r="647" ht="18.75" customHeight="1" x14ac:dyDescent="0.25"/>
    <row r="648" ht="18.75" customHeight="1" x14ac:dyDescent="0.25"/>
    <row r="649" ht="18.75" customHeight="1" x14ac:dyDescent="0.25"/>
    <row r="650" ht="18.75" customHeight="1" x14ac:dyDescent="0.25"/>
    <row r="651" ht="18.75" customHeight="1" x14ac:dyDescent="0.25"/>
    <row r="652" ht="18.75" customHeight="1" x14ac:dyDescent="0.25"/>
    <row r="653" ht="18.75" customHeight="1" x14ac:dyDescent="0.25"/>
    <row r="654" ht="18.75" customHeight="1" x14ac:dyDescent="0.25"/>
    <row r="655" ht="18.75" customHeight="1" x14ac:dyDescent="0.25"/>
    <row r="656" ht="18.75" customHeight="1" x14ac:dyDescent="0.25"/>
    <row r="657" ht="18.75" customHeight="1" x14ac:dyDescent="0.25"/>
    <row r="658" ht="18.75" customHeight="1" x14ac:dyDescent="0.25"/>
    <row r="659" ht="18.75" customHeight="1" x14ac:dyDescent="0.25"/>
    <row r="660" ht="18.75" customHeight="1" x14ac:dyDescent="0.25"/>
    <row r="661" ht="18.75" customHeight="1" x14ac:dyDescent="0.25"/>
    <row r="662" ht="18.75" customHeight="1" x14ac:dyDescent="0.25"/>
    <row r="663" ht="18.75" customHeight="1" x14ac:dyDescent="0.25"/>
    <row r="664" ht="18.75" customHeight="1" x14ac:dyDescent="0.25"/>
    <row r="665" ht="18.75" customHeight="1" x14ac:dyDescent="0.25"/>
    <row r="666" ht="18.75" customHeight="1" x14ac:dyDescent="0.25"/>
    <row r="667" ht="18.75" customHeight="1" x14ac:dyDescent="0.25"/>
    <row r="668" ht="18.75" customHeight="1" x14ac:dyDescent="0.25"/>
    <row r="669" ht="18.75" customHeight="1" x14ac:dyDescent="0.25"/>
    <row r="670" ht="18.75" customHeight="1" x14ac:dyDescent="0.25"/>
    <row r="671" ht="18.75" customHeight="1" x14ac:dyDescent="0.25"/>
    <row r="672" ht="18.75" customHeight="1" x14ac:dyDescent="0.25"/>
    <row r="673" ht="18.75" customHeight="1" x14ac:dyDescent="0.25"/>
    <row r="674" ht="18.75" customHeight="1" x14ac:dyDescent="0.25"/>
    <row r="675" ht="18.75" customHeight="1" x14ac:dyDescent="0.25"/>
    <row r="676" ht="18.75" customHeight="1" x14ac:dyDescent="0.25"/>
    <row r="677" ht="18.75" customHeight="1" x14ac:dyDescent="0.25"/>
    <row r="678" ht="18.75" customHeight="1" x14ac:dyDescent="0.25"/>
    <row r="679" ht="18.75" customHeight="1" x14ac:dyDescent="0.25"/>
    <row r="680" ht="18.75" customHeight="1" x14ac:dyDescent="0.25"/>
    <row r="681" ht="18.75" customHeight="1" x14ac:dyDescent="0.25"/>
    <row r="682" ht="18.75" customHeight="1" x14ac:dyDescent="0.25"/>
    <row r="683" ht="18.75" customHeight="1" x14ac:dyDescent="0.25"/>
    <row r="684" ht="18.75" customHeight="1" x14ac:dyDescent="0.25"/>
    <row r="685" ht="18.75" customHeight="1" x14ac:dyDescent="0.25"/>
    <row r="686" ht="18.75" customHeight="1" x14ac:dyDescent="0.25"/>
    <row r="687" ht="18.75" customHeight="1" x14ac:dyDescent="0.25"/>
    <row r="688" ht="18.75" customHeight="1" x14ac:dyDescent="0.25"/>
    <row r="689" ht="18.75" customHeight="1" x14ac:dyDescent="0.25"/>
    <row r="690" ht="18.75" customHeight="1" x14ac:dyDescent="0.25"/>
    <row r="691" ht="18.75" customHeight="1" x14ac:dyDescent="0.25"/>
    <row r="692" ht="18.75" customHeight="1" x14ac:dyDescent="0.25"/>
    <row r="693" ht="18.75" customHeight="1" x14ac:dyDescent="0.25"/>
    <row r="694" ht="18.75" customHeight="1" x14ac:dyDescent="0.25"/>
    <row r="695" ht="18.75" customHeight="1" x14ac:dyDescent="0.25"/>
    <row r="696" ht="18.75" customHeight="1" x14ac:dyDescent="0.25"/>
    <row r="697" ht="18.75" customHeight="1" x14ac:dyDescent="0.25"/>
    <row r="698" ht="18.75" customHeight="1" x14ac:dyDescent="0.25"/>
    <row r="699" ht="18.75" customHeight="1" x14ac:dyDescent="0.25"/>
    <row r="700" ht="18.75" customHeight="1" x14ac:dyDescent="0.25"/>
    <row r="701" ht="18.75" customHeight="1" x14ac:dyDescent="0.25"/>
    <row r="702" ht="18.75" customHeight="1" x14ac:dyDescent="0.25"/>
    <row r="703" ht="18.75" customHeight="1" x14ac:dyDescent="0.25"/>
    <row r="704" ht="18.75" customHeight="1" x14ac:dyDescent="0.25"/>
    <row r="705" ht="18.75" customHeight="1" x14ac:dyDescent="0.25"/>
    <row r="706" ht="18.75" customHeight="1" x14ac:dyDescent="0.25"/>
    <row r="707" ht="18.75" customHeight="1" x14ac:dyDescent="0.25"/>
    <row r="708" ht="18.75" customHeight="1" x14ac:dyDescent="0.25"/>
    <row r="709" ht="18.75" customHeight="1" x14ac:dyDescent="0.25"/>
    <row r="710" ht="18.75" customHeight="1" x14ac:dyDescent="0.25"/>
    <row r="711" ht="18.75" customHeight="1" x14ac:dyDescent="0.25"/>
    <row r="712" ht="18.75" customHeight="1" x14ac:dyDescent="0.25"/>
    <row r="713" ht="18.75" customHeight="1" x14ac:dyDescent="0.25"/>
    <row r="714" ht="18.75" customHeight="1" x14ac:dyDescent="0.25"/>
    <row r="715" ht="18.75" customHeight="1" x14ac:dyDescent="0.25"/>
    <row r="716" ht="18.75" customHeight="1" x14ac:dyDescent="0.25"/>
    <row r="717" ht="18.75" customHeight="1" x14ac:dyDescent="0.25"/>
    <row r="718" ht="18.75" customHeight="1" x14ac:dyDescent="0.25"/>
    <row r="719" ht="18.75" customHeight="1" x14ac:dyDescent="0.25"/>
    <row r="720" ht="18.75" customHeight="1" x14ac:dyDescent="0.25"/>
    <row r="721" ht="18.75" customHeight="1" x14ac:dyDescent="0.25"/>
    <row r="722" ht="18.75" customHeight="1" x14ac:dyDescent="0.25"/>
    <row r="723" ht="18.75" customHeight="1" x14ac:dyDescent="0.25"/>
    <row r="724" ht="18.75" customHeight="1" x14ac:dyDescent="0.25"/>
    <row r="725" ht="18.75" customHeight="1" x14ac:dyDescent="0.25"/>
    <row r="726" ht="18.75" customHeight="1" x14ac:dyDescent="0.25"/>
    <row r="727" ht="18.75" customHeight="1" x14ac:dyDescent="0.25"/>
    <row r="728" ht="18.75" customHeight="1" x14ac:dyDescent="0.25"/>
    <row r="729" ht="18.75" customHeight="1" x14ac:dyDescent="0.25"/>
    <row r="730" ht="18.75" customHeight="1" x14ac:dyDescent="0.25"/>
    <row r="731" ht="18.75" customHeight="1" x14ac:dyDescent="0.25"/>
    <row r="732" ht="18.75" customHeight="1" x14ac:dyDescent="0.25"/>
    <row r="733" ht="18.75" customHeight="1" x14ac:dyDescent="0.25"/>
    <row r="734" ht="18.75" customHeight="1" x14ac:dyDescent="0.25"/>
    <row r="735" ht="18.75" customHeight="1" x14ac:dyDescent="0.25"/>
    <row r="736" ht="18.75" customHeight="1" x14ac:dyDescent="0.25"/>
    <row r="737" ht="18.75" customHeight="1" x14ac:dyDescent="0.25"/>
    <row r="738" ht="18.75" customHeight="1" x14ac:dyDescent="0.25"/>
    <row r="739" ht="18.75" customHeight="1" x14ac:dyDescent="0.25"/>
    <row r="740" ht="18.75" customHeight="1" x14ac:dyDescent="0.25"/>
    <row r="741" ht="18.75" customHeight="1" x14ac:dyDescent="0.25"/>
    <row r="742" ht="18.75" customHeight="1" x14ac:dyDescent="0.25"/>
    <row r="743" ht="18.75" customHeight="1" x14ac:dyDescent="0.25"/>
    <row r="744" ht="18.75" customHeight="1" x14ac:dyDescent="0.25"/>
    <row r="745" ht="18.75" customHeight="1" x14ac:dyDescent="0.25"/>
    <row r="746" ht="18.75" customHeight="1" x14ac:dyDescent="0.25"/>
    <row r="747" ht="18.75" customHeight="1" x14ac:dyDescent="0.25"/>
    <row r="748" ht="18.75" customHeight="1" x14ac:dyDescent="0.25"/>
    <row r="749" ht="18.75" customHeight="1" x14ac:dyDescent="0.25"/>
    <row r="750" ht="18.75" customHeight="1" x14ac:dyDescent="0.25"/>
    <row r="751" ht="18.75" customHeight="1" x14ac:dyDescent="0.25"/>
    <row r="752" ht="18.75" customHeight="1" x14ac:dyDescent="0.25"/>
    <row r="753" ht="18.75" customHeight="1" x14ac:dyDescent="0.25"/>
    <row r="754" ht="18.75" customHeight="1" x14ac:dyDescent="0.25"/>
    <row r="755" ht="18.75" customHeight="1" x14ac:dyDescent="0.25"/>
    <row r="756" ht="18.75" customHeight="1" x14ac:dyDescent="0.25"/>
    <row r="757" ht="18.75" customHeight="1" x14ac:dyDescent="0.25"/>
    <row r="758" ht="18.75" customHeight="1" x14ac:dyDescent="0.25"/>
    <row r="759" ht="18.75" customHeight="1" x14ac:dyDescent="0.25"/>
    <row r="760" ht="18.75" customHeight="1" x14ac:dyDescent="0.25"/>
    <row r="761" ht="18.75" customHeight="1" x14ac:dyDescent="0.25"/>
    <row r="762" ht="18.75" customHeight="1" x14ac:dyDescent="0.25"/>
    <row r="763" ht="18.75" customHeight="1" x14ac:dyDescent="0.25"/>
    <row r="764" ht="18.75" customHeight="1" x14ac:dyDescent="0.25"/>
    <row r="765" ht="18.75" customHeight="1" x14ac:dyDescent="0.25"/>
    <row r="766" ht="18.75" customHeight="1" x14ac:dyDescent="0.25"/>
    <row r="767" ht="18.75" customHeight="1" x14ac:dyDescent="0.25"/>
    <row r="768" ht="18.75" customHeight="1" x14ac:dyDescent="0.25"/>
    <row r="769" ht="18.75" customHeight="1" x14ac:dyDescent="0.25"/>
    <row r="770" ht="18.75" customHeight="1" x14ac:dyDescent="0.25"/>
    <row r="771" ht="18.75" customHeight="1" x14ac:dyDescent="0.25"/>
    <row r="772" ht="18.75" customHeight="1" x14ac:dyDescent="0.25"/>
    <row r="773" ht="18.75" customHeight="1" x14ac:dyDescent="0.25"/>
    <row r="774" ht="18.75" customHeight="1" x14ac:dyDescent="0.25"/>
    <row r="775" ht="18.75" customHeight="1" x14ac:dyDescent="0.25"/>
    <row r="776" ht="18.75" customHeight="1" x14ac:dyDescent="0.25"/>
    <row r="777" ht="18.75" customHeight="1" x14ac:dyDescent="0.25"/>
    <row r="778" ht="18.75" customHeight="1" x14ac:dyDescent="0.25"/>
    <row r="779" ht="18.75" customHeight="1" x14ac:dyDescent="0.25"/>
    <row r="780" ht="18.75" customHeight="1" x14ac:dyDescent="0.25"/>
    <row r="781" ht="18.75" customHeight="1" x14ac:dyDescent="0.25"/>
    <row r="782" ht="18.75" customHeight="1" x14ac:dyDescent="0.25"/>
    <row r="783" ht="18.75" customHeight="1" x14ac:dyDescent="0.25"/>
    <row r="784" ht="18.75" customHeight="1" x14ac:dyDescent="0.25"/>
    <row r="785" ht="18.75" customHeight="1" x14ac:dyDescent="0.25"/>
    <row r="786" ht="18.75" customHeight="1" x14ac:dyDescent="0.25"/>
    <row r="787" ht="18.75" customHeight="1" x14ac:dyDescent="0.25"/>
    <row r="788" ht="18.75" customHeight="1" x14ac:dyDescent="0.25"/>
    <row r="789" ht="18.75" customHeight="1" x14ac:dyDescent="0.25"/>
    <row r="790" ht="18.75" customHeight="1" x14ac:dyDescent="0.25"/>
    <row r="791" ht="18.75" customHeight="1" x14ac:dyDescent="0.25"/>
    <row r="792" ht="18.75" customHeight="1" x14ac:dyDescent="0.25"/>
    <row r="793" ht="18.75" customHeight="1" x14ac:dyDescent="0.25"/>
    <row r="794" ht="18.75" customHeight="1" x14ac:dyDescent="0.25"/>
    <row r="795" ht="18.75" customHeight="1" x14ac:dyDescent="0.25"/>
    <row r="796" ht="18.75" customHeight="1" x14ac:dyDescent="0.25"/>
    <row r="797" ht="18.75" customHeight="1" x14ac:dyDescent="0.25"/>
    <row r="798" ht="18.75" customHeight="1" x14ac:dyDescent="0.25"/>
    <row r="799" ht="18.75" customHeight="1" x14ac:dyDescent="0.25"/>
    <row r="800" ht="18.75" customHeight="1" x14ac:dyDescent="0.25"/>
    <row r="801" ht="18.75" customHeight="1" x14ac:dyDescent="0.25"/>
    <row r="802" ht="18.75" customHeight="1" x14ac:dyDescent="0.25"/>
    <row r="803" ht="18.75" customHeight="1" x14ac:dyDescent="0.25"/>
    <row r="804" ht="18.75" customHeight="1" x14ac:dyDescent="0.25"/>
    <row r="805" ht="18.75" customHeight="1" x14ac:dyDescent="0.25"/>
    <row r="806" ht="18.75" customHeight="1" x14ac:dyDescent="0.25"/>
    <row r="807" ht="18.75" customHeight="1" x14ac:dyDescent="0.25"/>
    <row r="808" ht="18.75" customHeight="1" x14ac:dyDescent="0.25"/>
    <row r="809" ht="18.75" customHeight="1" x14ac:dyDescent="0.25"/>
    <row r="810" ht="18.75" customHeight="1" x14ac:dyDescent="0.25"/>
    <row r="811" ht="18.75" customHeight="1" x14ac:dyDescent="0.25"/>
    <row r="812" ht="18.75" customHeight="1" x14ac:dyDescent="0.25"/>
    <row r="813" ht="18.75" customHeight="1" x14ac:dyDescent="0.25"/>
    <row r="814" ht="18.75" customHeight="1" x14ac:dyDescent="0.25"/>
    <row r="815" ht="18.75" customHeight="1" x14ac:dyDescent="0.25"/>
    <row r="816" ht="18.75" customHeight="1" x14ac:dyDescent="0.25"/>
    <row r="817" ht="18.75" customHeight="1" x14ac:dyDescent="0.25"/>
    <row r="818" ht="18.75" customHeight="1" x14ac:dyDescent="0.25"/>
    <row r="819" ht="18.75" customHeight="1" x14ac:dyDescent="0.25"/>
    <row r="820" ht="18.75" customHeight="1" x14ac:dyDescent="0.25"/>
    <row r="821" ht="18.75" customHeight="1" x14ac:dyDescent="0.25"/>
    <row r="822" ht="18.75" customHeight="1" x14ac:dyDescent="0.25"/>
    <row r="823" ht="18.75" customHeight="1" x14ac:dyDescent="0.25"/>
    <row r="824" ht="18.75" customHeight="1" x14ac:dyDescent="0.25"/>
    <row r="825" ht="18.75" customHeight="1" x14ac:dyDescent="0.25"/>
    <row r="826" ht="18.75" customHeight="1" x14ac:dyDescent="0.25"/>
    <row r="827" ht="18.75" customHeight="1" x14ac:dyDescent="0.25"/>
    <row r="828" ht="18.75" customHeight="1" x14ac:dyDescent="0.25"/>
    <row r="829" ht="18.75" customHeight="1" x14ac:dyDescent="0.25"/>
    <row r="830" ht="18.75" customHeight="1" x14ac:dyDescent="0.25"/>
    <row r="831" ht="18.75" customHeight="1" x14ac:dyDescent="0.25"/>
    <row r="832" ht="18.75" customHeight="1" x14ac:dyDescent="0.25"/>
    <row r="833" ht="18.75" customHeight="1" x14ac:dyDescent="0.25"/>
    <row r="834" ht="18.75" customHeight="1" x14ac:dyDescent="0.25"/>
    <row r="835" ht="18.75" customHeight="1" x14ac:dyDescent="0.25"/>
    <row r="836" ht="18.75" customHeight="1" x14ac:dyDescent="0.25"/>
    <row r="837" ht="18.75" customHeight="1" x14ac:dyDescent="0.25"/>
    <row r="838" ht="18.75" customHeight="1" x14ac:dyDescent="0.25"/>
    <row r="839" ht="18.75" customHeight="1" x14ac:dyDescent="0.25"/>
    <row r="840" ht="18.75" customHeight="1" x14ac:dyDescent="0.25"/>
    <row r="841" ht="18.75" customHeight="1" x14ac:dyDescent="0.25"/>
    <row r="842" ht="18.75" customHeight="1" x14ac:dyDescent="0.25"/>
    <row r="843" ht="18.75" customHeight="1" x14ac:dyDescent="0.25"/>
    <row r="844" ht="18.75" customHeight="1" x14ac:dyDescent="0.25"/>
    <row r="845" ht="18.75" customHeight="1" x14ac:dyDescent="0.25"/>
    <row r="846" ht="18.75" customHeight="1" x14ac:dyDescent="0.25"/>
    <row r="847" ht="18.75" customHeight="1" x14ac:dyDescent="0.25"/>
    <row r="848" ht="18.75" customHeight="1" x14ac:dyDescent="0.25"/>
    <row r="849" ht="18.75" customHeight="1" x14ac:dyDescent="0.25"/>
    <row r="850" ht="18.75" customHeight="1" x14ac:dyDescent="0.25"/>
    <row r="851" ht="18.75" customHeight="1" x14ac:dyDescent="0.25"/>
    <row r="852" ht="18.75" customHeight="1" x14ac:dyDescent="0.25"/>
    <row r="853" ht="18.75" customHeight="1" x14ac:dyDescent="0.25"/>
    <row r="854" ht="18.75" customHeight="1" x14ac:dyDescent="0.25"/>
    <row r="855" ht="18.75" customHeight="1" x14ac:dyDescent="0.25"/>
    <row r="856" ht="18.75" customHeight="1" x14ac:dyDescent="0.25"/>
    <row r="857" ht="18.75" customHeight="1" x14ac:dyDescent="0.25"/>
    <row r="858" ht="18.75" customHeight="1" x14ac:dyDescent="0.25"/>
    <row r="859" ht="18.75" customHeight="1" x14ac:dyDescent="0.25"/>
    <row r="860" ht="18.75" customHeight="1" x14ac:dyDescent="0.25"/>
    <row r="861" ht="18.75" customHeight="1" x14ac:dyDescent="0.25"/>
    <row r="862" ht="18.75" customHeight="1" x14ac:dyDescent="0.25"/>
    <row r="863" ht="18.75" customHeight="1" x14ac:dyDescent="0.25"/>
    <row r="864" ht="18.75" customHeight="1" x14ac:dyDescent="0.25"/>
    <row r="865" ht="18.75" customHeight="1" x14ac:dyDescent="0.25"/>
    <row r="866" ht="18.75" customHeight="1" x14ac:dyDescent="0.25"/>
    <row r="867" ht="18.75" customHeight="1" x14ac:dyDescent="0.25"/>
    <row r="868" ht="18.75" customHeight="1" x14ac:dyDescent="0.25"/>
    <row r="869" ht="18.75" customHeight="1" x14ac:dyDescent="0.25"/>
    <row r="870" ht="18.75" customHeight="1" x14ac:dyDescent="0.25"/>
    <row r="871" ht="18.75" customHeight="1" x14ac:dyDescent="0.25"/>
    <row r="872" ht="18.75" customHeight="1" x14ac:dyDescent="0.25"/>
    <row r="873" ht="18.75" customHeight="1" x14ac:dyDescent="0.25"/>
    <row r="874" ht="18.75" customHeight="1" x14ac:dyDescent="0.25"/>
    <row r="875" ht="18.75" customHeight="1" x14ac:dyDescent="0.25"/>
    <row r="876" ht="18.75" customHeight="1" x14ac:dyDescent="0.25"/>
    <row r="877" ht="18.75" customHeight="1" x14ac:dyDescent="0.25"/>
    <row r="878" ht="18.75" customHeight="1" x14ac:dyDescent="0.25"/>
    <row r="879" ht="18.75" customHeight="1" x14ac:dyDescent="0.25"/>
    <row r="880" ht="18.75" customHeight="1" x14ac:dyDescent="0.25"/>
    <row r="881" ht="18.75" customHeight="1" x14ac:dyDescent="0.25"/>
    <row r="882" ht="18.75" customHeight="1" x14ac:dyDescent="0.25"/>
    <row r="883" ht="18.75" customHeight="1" x14ac:dyDescent="0.25"/>
    <row r="884" ht="18.75" customHeight="1" x14ac:dyDescent="0.25"/>
    <row r="885" ht="18.75" customHeight="1" x14ac:dyDescent="0.25"/>
    <row r="886" ht="18.75" customHeight="1" x14ac:dyDescent="0.25"/>
    <row r="887" ht="18.75" customHeight="1" x14ac:dyDescent="0.25"/>
    <row r="888" ht="18.75" customHeight="1" x14ac:dyDescent="0.25"/>
    <row r="889" ht="18.75" customHeight="1" x14ac:dyDescent="0.25"/>
    <row r="890" ht="18.75" customHeight="1" x14ac:dyDescent="0.25"/>
    <row r="891" ht="18.75" customHeight="1" x14ac:dyDescent="0.25"/>
    <row r="892" ht="18.75" customHeight="1" x14ac:dyDescent="0.25"/>
    <row r="893" ht="18.75" customHeight="1" x14ac:dyDescent="0.25"/>
    <row r="894" ht="18.75" customHeight="1" x14ac:dyDescent="0.25"/>
    <row r="895" ht="18.75" customHeight="1" x14ac:dyDescent="0.25"/>
    <row r="896" ht="18.75" customHeight="1" x14ac:dyDescent="0.25"/>
    <row r="897" ht="18.75" customHeight="1" x14ac:dyDescent="0.25"/>
    <row r="898" ht="18.75" customHeight="1" x14ac:dyDescent="0.25"/>
    <row r="899" ht="18.75" customHeight="1" x14ac:dyDescent="0.25"/>
    <row r="900" ht="18.75" customHeight="1" x14ac:dyDescent="0.25"/>
    <row r="901" ht="18.75" customHeight="1" x14ac:dyDescent="0.25"/>
    <row r="902" ht="18.75" customHeight="1" x14ac:dyDescent="0.25"/>
    <row r="903" ht="18.75" customHeight="1" x14ac:dyDescent="0.25"/>
    <row r="904" ht="18.75" customHeight="1" x14ac:dyDescent="0.25"/>
    <row r="905" ht="18.75" customHeight="1" x14ac:dyDescent="0.25"/>
    <row r="906" ht="18.75" customHeight="1" x14ac:dyDescent="0.25"/>
    <row r="907" ht="18.75" customHeight="1" x14ac:dyDescent="0.25"/>
    <row r="908" ht="18.75" customHeight="1" x14ac:dyDescent="0.25"/>
    <row r="909" ht="18.75" customHeight="1" x14ac:dyDescent="0.25"/>
    <row r="910" ht="18.75" customHeight="1" x14ac:dyDescent="0.25"/>
    <row r="911" ht="18.75" customHeight="1" x14ac:dyDescent="0.25"/>
    <row r="912" ht="18.75" customHeight="1" x14ac:dyDescent="0.25"/>
    <row r="913" ht="18.75" customHeight="1" x14ac:dyDescent="0.25"/>
    <row r="914" ht="18.75" customHeight="1" x14ac:dyDescent="0.25"/>
    <row r="915" ht="18.75" customHeight="1" x14ac:dyDescent="0.25"/>
    <row r="916" ht="18.75" customHeight="1" x14ac:dyDescent="0.25"/>
    <row r="917" ht="18.75" customHeight="1" x14ac:dyDescent="0.25"/>
    <row r="918" ht="18.75" customHeight="1" x14ac:dyDescent="0.25"/>
    <row r="919" ht="18.75" customHeight="1" x14ac:dyDescent="0.25"/>
    <row r="920" ht="18.75" customHeight="1" x14ac:dyDescent="0.25"/>
    <row r="921" ht="18.75" customHeight="1" x14ac:dyDescent="0.25"/>
    <row r="922" ht="18.75" customHeight="1" x14ac:dyDescent="0.25"/>
    <row r="923" ht="18.75" customHeight="1" x14ac:dyDescent="0.25"/>
    <row r="924" ht="18.75" customHeight="1" x14ac:dyDescent="0.25"/>
    <row r="925" ht="18.75" customHeight="1" x14ac:dyDescent="0.25"/>
    <row r="926" ht="18.75" customHeight="1" x14ac:dyDescent="0.25"/>
    <row r="927" ht="18.75" customHeight="1" x14ac:dyDescent="0.25"/>
    <row r="928" ht="18.75" customHeight="1" x14ac:dyDescent="0.25"/>
    <row r="929" ht="18.75" customHeight="1" x14ac:dyDescent="0.25"/>
    <row r="930" ht="18.75" customHeight="1" x14ac:dyDescent="0.25"/>
    <row r="931" ht="18.75" customHeight="1" x14ac:dyDescent="0.25"/>
    <row r="932" ht="18.75" customHeight="1" x14ac:dyDescent="0.25"/>
    <row r="933" ht="18.75" customHeight="1" x14ac:dyDescent="0.25"/>
    <row r="934" ht="18.75" customHeight="1" x14ac:dyDescent="0.25"/>
    <row r="935" ht="18.75" customHeight="1" x14ac:dyDescent="0.25"/>
    <row r="936" ht="18.75" customHeight="1" x14ac:dyDescent="0.25"/>
    <row r="937" ht="18.75" customHeight="1" x14ac:dyDescent="0.25"/>
    <row r="938" ht="18.75" customHeight="1" x14ac:dyDescent="0.25"/>
    <row r="939" ht="18.75" customHeight="1" x14ac:dyDescent="0.25"/>
    <row r="940" ht="18.75" customHeight="1" x14ac:dyDescent="0.25"/>
    <row r="941" ht="18.75" customHeight="1" x14ac:dyDescent="0.25"/>
    <row r="942" ht="18.75" customHeight="1" x14ac:dyDescent="0.25"/>
    <row r="943" ht="18.75" customHeight="1" x14ac:dyDescent="0.25"/>
    <row r="944" ht="18.75" customHeight="1" x14ac:dyDescent="0.25"/>
    <row r="945" ht="18.75" customHeight="1" x14ac:dyDescent="0.25"/>
    <row r="946" ht="18.75" customHeight="1" x14ac:dyDescent="0.25"/>
    <row r="947" ht="18.75" customHeight="1" x14ac:dyDescent="0.25"/>
    <row r="948" ht="18.75" customHeight="1" x14ac:dyDescent="0.25"/>
    <row r="949" ht="18.75" customHeight="1" x14ac:dyDescent="0.25"/>
    <row r="950" ht="18.75" customHeight="1" x14ac:dyDescent="0.25"/>
    <row r="951" ht="18.75" customHeight="1" x14ac:dyDescent="0.25"/>
    <row r="952" ht="18.75" customHeight="1" x14ac:dyDescent="0.25"/>
    <row r="953" ht="18.75" customHeight="1" x14ac:dyDescent="0.25"/>
    <row r="954" ht="18.75" customHeight="1" x14ac:dyDescent="0.25"/>
    <row r="955" ht="18.75" customHeight="1" x14ac:dyDescent="0.25"/>
    <row r="956" ht="18.75" customHeight="1" x14ac:dyDescent="0.25"/>
    <row r="957" ht="18.75" customHeight="1" x14ac:dyDescent="0.25"/>
    <row r="958" ht="18.75" customHeight="1" x14ac:dyDescent="0.25"/>
    <row r="959" ht="18.75" customHeight="1" x14ac:dyDescent="0.25"/>
    <row r="960" ht="18.75" customHeight="1" x14ac:dyDescent="0.25"/>
    <row r="961" ht="18.75" customHeight="1" x14ac:dyDescent="0.25"/>
    <row r="962" ht="18.75" customHeight="1" x14ac:dyDescent="0.25"/>
    <row r="963" ht="18.75" customHeight="1" x14ac:dyDescent="0.25"/>
    <row r="964" ht="18.75" customHeight="1" x14ac:dyDescent="0.25"/>
    <row r="965" ht="18.75" customHeight="1" x14ac:dyDescent="0.25"/>
    <row r="966" ht="18.75" customHeight="1" x14ac:dyDescent="0.25"/>
    <row r="967" ht="18.75" customHeight="1" x14ac:dyDescent="0.25"/>
    <row r="968" ht="18.75" customHeight="1" x14ac:dyDescent="0.25"/>
    <row r="969" ht="18.75" customHeight="1" x14ac:dyDescent="0.25"/>
    <row r="970" ht="18.75" customHeight="1" x14ac:dyDescent="0.25"/>
    <row r="971" ht="18.75" customHeight="1" x14ac:dyDescent="0.25"/>
    <row r="972" ht="18.75" customHeight="1" x14ac:dyDescent="0.25"/>
    <row r="973" ht="18.75" customHeight="1" x14ac:dyDescent="0.25"/>
    <row r="974" ht="18.75" customHeight="1" x14ac:dyDescent="0.25"/>
    <row r="975" ht="18.75" customHeight="1" x14ac:dyDescent="0.25"/>
    <row r="976" ht="18.75" customHeight="1" x14ac:dyDescent="0.25"/>
    <row r="977" ht="18.75" customHeight="1" x14ac:dyDescent="0.25"/>
    <row r="978" ht="18.75" customHeight="1" x14ac:dyDescent="0.25"/>
    <row r="979" ht="18.75" customHeight="1" x14ac:dyDescent="0.25"/>
    <row r="980" ht="18.75" customHeight="1" x14ac:dyDescent="0.25"/>
    <row r="981" ht="18.75" customHeight="1" x14ac:dyDescent="0.25"/>
    <row r="982" ht="18.75" customHeight="1" x14ac:dyDescent="0.25"/>
    <row r="983" ht="18.75" customHeight="1" x14ac:dyDescent="0.25"/>
    <row r="984" ht="18.75" customHeight="1" x14ac:dyDescent="0.25"/>
    <row r="985" ht="18.75" customHeight="1" x14ac:dyDescent="0.25"/>
    <row r="986" ht="18.75" customHeight="1" x14ac:dyDescent="0.25"/>
    <row r="987" ht="18.75" customHeight="1" x14ac:dyDescent="0.25"/>
    <row r="988" ht="18.75" customHeight="1" x14ac:dyDescent="0.25"/>
    <row r="989" ht="18.75" customHeight="1" x14ac:dyDescent="0.25"/>
    <row r="990" ht="18.75" customHeight="1" x14ac:dyDescent="0.25"/>
    <row r="991" ht="18.75" customHeight="1" x14ac:dyDescent="0.25"/>
    <row r="992" ht="18.75" customHeight="1" x14ac:dyDescent="0.25"/>
    <row r="993" ht="18.75" customHeight="1" x14ac:dyDescent="0.25"/>
    <row r="994" ht="18.75" customHeight="1" x14ac:dyDescent="0.25"/>
    <row r="995" ht="18.75" customHeight="1" x14ac:dyDescent="0.25"/>
    <row r="996" ht="18.75" customHeight="1" x14ac:dyDescent="0.25"/>
    <row r="997" ht="18.75" customHeight="1" x14ac:dyDescent="0.25"/>
    <row r="998" ht="18.75" customHeight="1" x14ac:dyDescent="0.25"/>
    <row r="999" ht="18.75" customHeight="1" x14ac:dyDescent="0.25"/>
    <row r="1000" ht="18.75" customHeight="1" x14ac:dyDescent="0.25"/>
  </sheetData>
  <phoneticPr fontId="12"/>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000"/>
  <sheetViews>
    <sheetView workbookViewId="0"/>
  </sheetViews>
  <sheetFormatPr defaultColWidth="12.5703125" defaultRowHeight="15" customHeight="1" x14ac:dyDescent="0.25"/>
  <cols>
    <col min="1" max="26" width="7.5703125" customWidth="1"/>
  </cols>
  <sheetData>
    <row r="1" spans="1:17" ht="18.75" customHeight="1" x14ac:dyDescent="0.25">
      <c r="A1" s="1" t="s">
        <v>794</v>
      </c>
      <c r="B1" s="14" t="s">
        <v>795</v>
      </c>
      <c r="I1" s="15" t="s">
        <v>24</v>
      </c>
      <c r="K1" s="16" t="s">
        <v>40</v>
      </c>
      <c r="M1" s="17" t="s">
        <v>796</v>
      </c>
      <c r="O1" s="18" t="s">
        <v>42</v>
      </c>
    </row>
    <row r="2" spans="1:17" ht="18.75" customHeight="1" x14ac:dyDescent="0.25">
      <c r="B2" s="19" t="s">
        <v>797</v>
      </c>
    </row>
    <row r="3" spans="1:17" ht="18.75" customHeight="1" x14ac:dyDescent="0.25"/>
    <row r="4" spans="1:17" ht="18.75" customHeight="1" x14ac:dyDescent="0.25">
      <c r="A4" s="1" t="s">
        <v>798</v>
      </c>
      <c r="B4" s="1" t="s">
        <v>799</v>
      </c>
      <c r="Q4" s="20" t="s">
        <v>800</v>
      </c>
    </row>
    <row r="5" spans="1:17" ht="18.75" customHeight="1" x14ac:dyDescent="0.25">
      <c r="B5" s="1" t="s">
        <v>801</v>
      </c>
    </row>
    <row r="6" spans="1:17" ht="18.75" customHeight="1" x14ac:dyDescent="0.25">
      <c r="A6" s="1" t="s">
        <v>802</v>
      </c>
      <c r="B6" s="1" t="s">
        <v>803</v>
      </c>
    </row>
    <row r="7" spans="1:17" ht="18.75" customHeight="1" x14ac:dyDescent="0.25">
      <c r="A7" s="1" t="s">
        <v>802</v>
      </c>
      <c r="B7" s="1" t="s">
        <v>804</v>
      </c>
    </row>
    <row r="8" spans="1:17" ht="18.75" customHeight="1" x14ac:dyDescent="0.25">
      <c r="B8" s="1" t="s">
        <v>805</v>
      </c>
      <c r="Q8" s="20" t="s">
        <v>806</v>
      </c>
    </row>
    <row r="9" spans="1:17" ht="18.75" customHeight="1" x14ac:dyDescent="0.25">
      <c r="B9" s="1" t="s">
        <v>807</v>
      </c>
    </row>
    <row r="10" spans="1:17" ht="18.75" customHeight="1" x14ac:dyDescent="0.25">
      <c r="B10" s="1" t="s">
        <v>808</v>
      </c>
    </row>
    <row r="11" spans="1:17" ht="18.75" customHeight="1" x14ac:dyDescent="0.25"/>
    <row r="12" spans="1:17" ht="18.75" customHeight="1" x14ac:dyDescent="0.25">
      <c r="A12" s="1" t="s">
        <v>809</v>
      </c>
      <c r="B12" s="1" t="s">
        <v>810</v>
      </c>
    </row>
    <row r="13" spans="1:17" ht="18.75" customHeight="1" x14ac:dyDescent="0.25">
      <c r="B13" s="1" t="s">
        <v>811</v>
      </c>
    </row>
    <row r="14" spans="1:17" ht="18.75" customHeight="1" x14ac:dyDescent="0.25">
      <c r="B14" s="1" t="s">
        <v>812</v>
      </c>
    </row>
    <row r="15" spans="1:17" ht="18.75" customHeight="1" x14ac:dyDescent="0.25">
      <c r="B15" s="1" t="s">
        <v>813</v>
      </c>
    </row>
    <row r="16" spans="1:17" ht="18" customHeight="1" x14ac:dyDescent="0.25">
      <c r="B16" s="1" t="s">
        <v>814</v>
      </c>
      <c r="P16" s="20" t="s">
        <v>800</v>
      </c>
    </row>
    <row r="17" spans="1:16" ht="18" customHeight="1" x14ac:dyDescent="0.25">
      <c r="B17" s="1" t="s">
        <v>815</v>
      </c>
      <c r="P17" s="20"/>
    </row>
    <row r="18" spans="1:16" ht="18.75" customHeight="1" x14ac:dyDescent="0.25">
      <c r="B18" s="1" t="s">
        <v>816</v>
      </c>
    </row>
    <row r="19" spans="1:16" ht="18.75" customHeight="1" x14ac:dyDescent="0.25">
      <c r="B19" s="1" t="s">
        <v>817</v>
      </c>
    </row>
    <row r="20" spans="1:16" ht="18.75" customHeight="1" x14ac:dyDescent="0.25">
      <c r="B20" s="1" t="s">
        <v>818</v>
      </c>
    </row>
    <row r="21" spans="1:16" ht="18.75" customHeight="1" x14ac:dyDescent="0.25">
      <c r="B21" s="21" t="s">
        <v>819</v>
      </c>
    </row>
    <row r="22" spans="1:16" ht="18.75" customHeight="1" x14ac:dyDescent="0.25">
      <c r="B22" s="1" t="s">
        <v>820</v>
      </c>
      <c r="P22" s="20" t="s">
        <v>806</v>
      </c>
    </row>
    <row r="23" spans="1:16" ht="18.75" customHeight="1" x14ac:dyDescent="0.25">
      <c r="B23" s="1" t="s">
        <v>821</v>
      </c>
    </row>
    <row r="24" spans="1:16" ht="18.75" customHeight="1" x14ac:dyDescent="0.25">
      <c r="B24" s="19" t="s">
        <v>822</v>
      </c>
    </row>
    <row r="25" spans="1:16" ht="18.75" customHeight="1" x14ac:dyDescent="0.25">
      <c r="B25" s="22" t="s">
        <v>823</v>
      </c>
    </row>
    <row r="26" spans="1:16" ht="18.75" customHeight="1" x14ac:dyDescent="0.25">
      <c r="B26" s="22" t="s">
        <v>824</v>
      </c>
    </row>
    <row r="27" spans="1:16" ht="18" customHeight="1" x14ac:dyDescent="0.25">
      <c r="A27" s="19"/>
      <c r="B27" s="1" t="s">
        <v>825</v>
      </c>
    </row>
    <row r="28" spans="1:16" ht="18" customHeight="1" x14ac:dyDescent="0.25">
      <c r="A28" s="19"/>
      <c r="B28" s="1" t="s">
        <v>826</v>
      </c>
    </row>
    <row r="29" spans="1:16" ht="18" customHeight="1" x14ac:dyDescent="0.25">
      <c r="A29" s="19"/>
    </row>
    <row r="30" spans="1:16" ht="18.75" customHeight="1" x14ac:dyDescent="0.25">
      <c r="A30" s="1" t="s">
        <v>827</v>
      </c>
      <c r="B30" s="1" t="s">
        <v>828</v>
      </c>
    </row>
    <row r="31" spans="1:16" ht="18.75" customHeight="1" x14ac:dyDescent="0.25">
      <c r="B31" s="1" t="s">
        <v>829</v>
      </c>
    </row>
    <row r="32" spans="1:16" ht="18.75" customHeight="1" x14ac:dyDescent="0.25">
      <c r="B32" s="19" t="s">
        <v>830</v>
      </c>
    </row>
    <row r="33" spans="1:2" ht="18.75" customHeight="1" x14ac:dyDescent="0.25">
      <c r="B33" s="1" t="s">
        <v>831</v>
      </c>
    </row>
    <row r="34" spans="1:2" ht="18.75" customHeight="1" x14ac:dyDescent="0.25">
      <c r="B34" s="20" t="s">
        <v>832</v>
      </c>
    </row>
    <row r="35" spans="1:2" ht="18.75" customHeight="1" x14ac:dyDescent="0.25">
      <c r="B35" s="20" t="s">
        <v>833</v>
      </c>
    </row>
    <row r="36" spans="1:2" ht="18.75" customHeight="1" x14ac:dyDescent="0.25"/>
    <row r="37" spans="1:2" ht="18.75" customHeight="1" x14ac:dyDescent="0.25">
      <c r="A37" s="1" t="s">
        <v>834</v>
      </c>
      <c r="B37" s="1" t="s">
        <v>835</v>
      </c>
    </row>
    <row r="38" spans="1:2" ht="18.75" customHeight="1" x14ac:dyDescent="0.25">
      <c r="B38" s="1" t="s">
        <v>836</v>
      </c>
    </row>
    <row r="39" spans="1:2" ht="18.75" customHeight="1" x14ac:dyDescent="0.25">
      <c r="B39" s="1" t="s">
        <v>837</v>
      </c>
    </row>
    <row r="40" spans="1:2" ht="18.75" customHeight="1" x14ac:dyDescent="0.25">
      <c r="B40" s="1" t="s">
        <v>838</v>
      </c>
    </row>
    <row r="41" spans="1:2" ht="18.75" customHeight="1" x14ac:dyDescent="0.25">
      <c r="B41" s="1" t="s">
        <v>839</v>
      </c>
    </row>
    <row r="42" spans="1:2" ht="18.75" customHeight="1" x14ac:dyDescent="0.25">
      <c r="B42" s="1" t="s">
        <v>840</v>
      </c>
    </row>
    <row r="43" spans="1:2" ht="18.75" customHeight="1" x14ac:dyDescent="0.25">
      <c r="B43" s="1" t="s">
        <v>841</v>
      </c>
    </row>
    <row r="44" spans="1:2" ht="18.75" customHeight="1" x14ac:dyDescent="0.25">
      <c r="B44" s="1" t="s">
        <v>842</v>
      </c>
    </row>
    <row r="45" spans="1:2" ht="18.75" customHeight="1" x14ac:dyDescent="0.25">
      <c r="B45" s="1" t="s">
        <v>843</v>
      </c>
    </row>
    <row r="46" spans="1:2" ht="18.75" customHeight="1" x14ac:dyDescent="0.25">
      <c r="B46" s="1" t="s">
        <v>844</v>
      </c>
    </row>
    <row r="47" spans="1:2" ht="18.75" customHeight="1" x14ac:dyDescent="0.25">
      <c r="B47" s="1" t="s">
        <v>845</v>
      </c>
    </row>
    <row r="48" spans="1:2" ht="18.75" customHeight="1" x14ac:dyDescent="0.25">
      <c r="B48" s="1" t="s">
        <v>846</v>
      </c>
    </row>
    <row r="49" ht="18.75" customHeight="1" x14ac:dyDescent="0.25"/>
    <row r="50" ht="18.75" customHeight="1" x14ac:dyDescent="0.25"/>
    <row r="51" ht="18.75" customHeight="1" x14ac:dyDescent="0.25"/>
    <row r="52" ht="18.75" customHeight="1" x14ac:dyDescent="0.25"/>
    <row r="53" ht="18.75" customHeight="1" x14ac:dyDescent="0.25"/>
    <row r="54" ht="18.75" customHeight="1" x14ac:dyDescent="0.25"/>
    <row r="55" ht="18.75" customHeight="1" x14ac:dyDescent="0.25"/>
    <row r="56" ht="18.75" customHeight="1" x14ac:dyDescent="0.25"/>
    <row r="57" ht="18.75" customHeight="1" x14ac:dyDescent="0.25"/>
    <row r="58" ht="18.75" customHeight="1" x14ac:dyDescent="0.25"/>
    <row r="59" ht="18.75" customHeight="1" x14ac:dyDescent="0.25"/>
    <row r="60" ht="18.75" customHeight="1" x14ac:dyDescent="0.25"/>
    <row r="61" ht="18.75" customHeight="1" x14ac:dyDescent="0.25"/>
    <row r="62" ht="18.75" customHeight="1" x14ac:dyDescent="0.25"/>
    <row r="63" ht="18.75" customHeight="1" x14ac:dyDescent="0.25"/>
    <row r="64" ht="18.75" customHeight="1" x14ac:dyDescent="0.25"/>
    <row r="65" ht="18.75" customHeight="1" x14ac:dyDescent="0.25"/>
    <row r="66" ht="18.75" customHeight="1" x14ac:dyDescent="0.25"/>
    <row r="67" ht="18.75" customHeight="1" x14ac:dyDescent="0.25"/>
    <row r="68" ht="18.75" customHeight="1" x14ac:dyDescent="0.25"/>
    <row r="69" ht="18.75" customHeight="1" x14ac:dyDescent="0.25"/>
    <row r="70" ht="18.75" customHeight="1" x14ac:dyDescent="0.25"/>
    <row r="71" ht="18.75" customHeight="1" x14ac:dyDescent="0.25"/>
    <row r="72" ht="18.75" customHeight="1" x14ac:dyDescent="0.25"/>
    <row r="73" ht="18.75" customHeight="1" x14ac:dyDescent="0.25"/>
    <row r="74" ht="18.75" customHeight="1" x14ac:dyDescent="0.25"/>
    <row r="75" ht="18.75" customHeight="1" x14ac:dyDescent="0.25"/>
    <row r="76" ht="18.75" customHeight="1" x14ac:dyDescent="0.25"/>
    <row r="77" ht="18.75" customHeight="1" x14ac:dyDescent="0.25"/>
    <row r="78" ht="18.75" customHeight="1" x14ac:dyDescent="0.25"/>
    <row r="79" ht="18.75" customHeight="1" x14ac:dyDescent="0.25"/>
    <row r="80" ht="18.75" customHeight="1" x14ac:dyDescent="0.25"/>
    <row r="81" ht="18.75" customHeight="1" x14ac:dyDescent="0.25"/>
    <row r="82" ht="18.75" customHeight="1" x14ac:dyDescent="0.25"/>
    <row r="83" ht="18.75" customHeight="1" x14ac:dyDescent="0.25"/>
    <row r="84" ht="18.75" customHeight="1" x14ac:dyDescent="0.25"/>
    <row r="85" ht="18.75" customHeight="1" x14ac:dyDescent="0.25"/>
    <row r="86" ht="18.75" customHeight="1" x14ac:dyDescent="0.25"/>
    <row r="87" ht="18.75" customHeight="1" x14ac:dyDescent="0.25"/>
    <row r="88" ht="18.75" customHeight="1" x14ac:dyDescent="0.25"/>
    <row r="89" ht="18.75" customHeight="1" x14ac:dyDescent="0.25"/>
    <row r="90" ht="18.75" customHeight="1" x14ac:dyDescent="0.25"/>
    <row r="91" ht="18.75" customHeight="1" x14ac:dyDescent="0.25"/>
    <row r="92" ht="18.75" customHeight="1" x14ac:dyDescent="0.25"/>
    <row r="93" ht="18.75" customHeight="1" x14ac:dyDescent="0.25"/>
    <row r="94" ht="18.75" customHeight="1" x14ac:dyDescent="0.25"/>
    <row r="95" ht="18.75" customHeight="1" x14ac:dyDescent="0.25"/>
    <row r="96" ht="18.75" customHeight="1" x14ac:dyDescent="0.25"/>
    <row r="97" ht="18.75" customHeight="1" x14ac:dyDescent="0.25"/>
    <row r="98" ht="18.75" customHeight="1" x14ac:dyDescent="0.25"/>
    <row r="99" ht="18.75" customHeight="1" x14ac:dyDescent="0.25"/>
    <row r="100" ht="18.75" customHeight="1" x14ac:dyDescent="0.25"/>
    <row r="101" ht="18.75" customHeight="1" x14ac:dyDescent="0.25"/>
    <row r="102" ht="18.75" customHeight="1" x14ac:dyDescent="0.25"/>
    <row r="103" ht="18.75" customHeight="1" x14ac:dyDescent="0.25"/>
    <row r="104" ht="18.75" customHeight="1" x14ac:dyDescent="0.25"/>
    <row r="105" ht="18.75" customHeight="1" x14ac:dyDescent="0.25"/>
    <row r="106" ht="18.75" customHeight="1" x14ac:dyDescent="0.25"/>
    <row r="107" ht="18.75" customHeight="1" x14ac:dyDescent="0.25"/>
    <row r="108" ht="18.75" customHeight="1" x14ac:dyDescent="0.25"/>
    <row r="109" ht="18.75" customHeight="1" x14ac:dyDescent="0.25"/>
    <row r="110" ht="18.75" customHeight="1" x14ac:dyDescent="0.25"/>
    <row r="111" ht="18.75" customHeight="1" x14ac:dyDescent="0.25"/>
    <row r="112" ht="18.75" customHeight="1" x14ac:dyDescent="0.25"/>
    <row r="113" ht="18.75" customHeight="1" x14ac:dyDescent="0.25"/>
    <row r="114" ht="18.75" customHeight="1" x14ac:dyDescent="0.25"/>
    <row r="115" ht="18.75" customHeight="1" x14ac:dyDescent="0.25"/>
    <row r="116" ht="18.75" customHeight="1" x14ac:dyDescent="0.25"/>
    <row r="117" ht="18.75" customHeight="1" x14ac:dyDescent="0.25"/>
    <row r="118" ht="18.75" customHeight="1" x14ac:dyDescent="0.25"/>
    <row r="119" ht="18.75" customHeight="1" x14ac:dyDescent="0.25"/>
    <row r="120" ht="18.75" customHeight="1" x14ac:dyDescent="0.25"/>
    <row r="121" ht="18.75" customHeight="1" x14ac:dyDescent="0.25"/>
    <row r="122" ht="18.75" customHeight="1" x14ac:dyDescent="0.25"/>
    <row r="123" ht="18.75" customHeight="1" x14ac:dyDescent="0.25"/>
    <row r="124" ht="18.75" customHeight="1" x14ac:dyDescent="0.25"/>
    <row r="125" ht="18.75" customHeight="1" x14ac:dyDescent="0.25"/>
    <row r="126" ht="18.75" customHeight="1" x14ac:dyDescent="0.25"/>
    <row r="127" ht="18.75" customHeight="1" x14ac:dyDescent="0.25"/>
    <row r="128" ht="18.75" customHeight="1" x14ac:dyDescent="0.25"/>
    <row r="129" ht="18.75" customHeight="1" x14ac:dyDescent="0.25"/>
    <row r="130" ht="18.75" customHeight="1" x14ac:dyDescent="0.25"/>
    <row r="131" ht="18.75" customHeight="1" x14ac:dyDescent="0.25"/>
    <row r="132" ht="18.75" customHeight="1" x14ac:dyDescent="0.25"/>
    <row r="133" ht="18.75" customHeight="1" x14ac:dyDescent="0.25"/>
    <row r="134" ht="18.75" customHeight="1" x14ac:dyDescent="0.25"/>
    <row r="135" ht="18.75" customHeight="1" x14ac:dyDescent="0.25"/>
    <row r="136" ht="18.75" customHeight="1" x14ac:dyDescent="0.25"/>
    <row r="137" ht="18.75" customHeight="1" x14ac:dyDescent="0.25"/>
    <row r="138" ht="18.75" customHeight="1" x14ac:dyDescent="0.25"/>
    <row r="139" ht="18.75" customHeight="1" x14ac:dyDescent="0.25"/>
    <row r="140" ht="18.75" customHeight="1" x14ac:dyDescent="0.25"/>
    <row r="141" ht="18.75" customHeight="1" x14ac:dyDescent="0.25"/>
    <row r="142" ht="18.75" customHeight="1" x14ac:dyDescent="0.25"/>
    <row r="143" ht="18.75" customHeight="1" x14ac:dyDescent="0.25"/>
    <row r="144" ht="18.75" customHeight="1" x14ac:dyDescent="0.25"/>
    <row r="145" ht="18.75" customHeight="1" x14ac:dyDescent="0.25"/>
    <row r="146" ht="18.75" customHeight="1" x14ac:dyDescent="0.25"/>
    <row r="147" ht="18.75" customHeight="1" x14ac:dyDescent="0.25"/>
    <row r="148" ht="18.75" customHeight="1" x14ac:dyDescent="0.25"/>
    <row r="149" ht="18.75" customHeight="1" x14ac:dyDescent="0.25"/>
    <row r="150" ht="18.75" customHeight="1" x14ac:dyDescent="0.25"/>
    <row r="151" ht="18.75" customHeight="1" x14ac:dyDescent="0.25"/>
    <row r="152" ht="18.75" customHeight="1" x14ac:dyDescent="0.25"/>
    <row r="153" ht="18.75" customHeight="1" x14ac:dyDescent="0.25"/>
    <row r="154" ht="18.75" customHeight="1" x14ac:dyDescent="0.25"/>
    <row r="155" ht="18.75" customHeight="1" x14ac:dyDescent="0.25"/>
    <row r="156" ht="18.75" customHeight="1" x14ac:dyDescent="0.25"/>
    <row r="157" ht="18.75" customHeight="1" x14ac:dyDescent="0.25"/>
    <row r="158" ht="18.75" customHeight="1" x14ac:dyDescent="0.25"/>
    <row r="159" ht="18.75" customHeight="1" x14ac:dyDescent="0.25"/>
    <row r="160" ht="18.75" customHeight="1" x14ac:dyDescent="0.25"/>
    <row r="161" ht="18.75" customHeight="1" x14ac:dyDescent="0.25"/>
    <row r="162" ht="18.75" customHeight="1" x14ac:dyDescent="0.25"/>
    <row r="163" ht="18.75" customHeight="1" x14ac:dyDescent="0.25"/>
    <row r="164" ht="18.75" customHeight="1" x14ac:dyDescent="0.25"/>
    <row r="165" ht="18.75" customHeight="1" x14ac:dyDescent="0.25"/>
    <row r="166" ht="18.75" customHeight="1" x14ac:dyDescent="0.25"/>
    <row r="167" ht="18.75" customHeight="1" x14ac:dyDescent="0.25"/>
    <row r="168" ht="18.75" customHeight="1" x14ac:dyDescent="0.25"/>
    <row r="169" ht="18.75" customHeight="1" x14ac:dyDescent="0.25"/>
    <row r="170" ht="18.75" customHeight="1" x14ac:dyDescent="0.25"/>
    <row r="171" ht="18.75" customHeight="1" x14ac:dyDescent="0.25"/>
    <row r="172" ht="18.75" customHeight="1" x14ac:dyDescent="0.25"/>
    <row r="173" ht="18.75" customHeight="1" x14ac:dyDescent="0.25"/>
    <row r="174" ht="18.75" customHeight="1" x14ac:dyDescent="0.25"/>
    <row r="175" ht="18.75" customHeight="1" x14ac:dyDescent="0.25"/>
    <row r="176" ht="18.75" customHeight="1" x14ac:dyDescent="0.25"/>
    <row r="177" ht="18.75" customHeight="1" x14ac:dyDescent="0.25"/>
    <row r="178" ht="18.75" customHeight="1" x14ac:dyDescent="0.25"/>
    <row r="179" ht="18.75" customHeight="1" x14ac:dyDescent="0.25"/>
    <row r="180" ht="18.75" customHeight="1" x14ac:dyDescent="0.25"/>
    <row r="181" ht="18.75" customHeight="1" x14ac:dyDescent="0.25"/>
    <row r="182" ht="18.75" customHeight="1" x14ac:dyDescent="0.25"/>
    <row r="183" ht="18.75" customHeight="1" x14ac:dyDescent="0.25"/>
    <row r="184" ht="18.75" customHeight="1" x14ac:dyDescent="0.25"/>
    <row r="185" ht="18.75" customHeight="1" x14ac:dyDescent="0.25"/>
    <row r="186" ht="18.75" customHeight="1" x14ac:dyDescent="0.25"/>
    <row r="187" ht="18.75" customHeight="1" x14ac:dyDescent="0.25"/>
    <row r="188" ht="18.75" customHeight="1" x14ac:dyDescent="0.25"/>
    <row r="189" ht="18.75" customHeight="1" x14ac:dyDescent="0.25"/>
    <row r="190" ht="18.75" customHeight="1" x14ac:dyDescent="0.25"/>
    <row r="191" ht="18.75" customHeight="1" x14ac:dyDescent="0.25"/>
    <row r="192" ht="18.75" customHeight="1" x14ac:dyDescent="0.25"/>
    <row r="193" ht="18.75" customHeight="1" x14ac:dyDescent="0.25"/>
    <row r="194" ht="18.75" customHeight="1" x14ac:dyDescent="0.25"/>
    <row r="195" ht="18.75" customHeight="1" x14ac:dyDescent="0.25"/>
    <row r="196" ht="18.75" customHeight="1" x14ac:dyDescent="0.25"/>
    <row r="197" ht="18.75" customHeight="1" x14ac:dyDescent="0.25"/>
    <row r="198" ht="18.75" customHeight="1" x14ac:dyDescent="0.25"/>
    <row r="199" ht="18.75" customHeight="1" x14ac:dyDescent="0.25"/>
    <row r="200" ht="18.75" customHeight="1" x14ac:dyDescent="0.25"/>
    <row r="201" ht="18.75" customHeight="1" x14ac:dyDescent="0.25"/>
    <row r="202" ht="18.75" customHeight="1" x14ac:dyDescent="0.25"/>
    <row r="203" ht="18.75" customHeight="1" x14ac:dyDescent="0.25"/>
    <row r="204" ht="18.75" customHeight="1" x14ac:dyDescent="0.25"/>
    <row r="205" ht="18.75" customHeight="1" x14ac:dyDescent="0.25"/>
    <row r="206" ht="18.75" customHeight="1" x14ac:dyDescent="0.25"/>
    <row r="207" ht="18.75" customHeight="1" x14ac:dyDescent="0.25"/>
    <row r="208" ht="18.75" customHeight="1" x14ac:dyDescent="0.25"/>
    <row r="209" ht="18.75" customHeight="1" x14ac:dyDescent="0.25"/>
    <row r="210" ht="18.75" customHeight="1" x14ac:dyDescent="0.25"/>
    <row r="211" ht="18.75" customHeight="1" x14ac:dyDescent="0.25"/>
    <row r="212" ht="18.75" customHeight="1" x14ac:dyDescent="0.25"/>
    <row r="213" ht="18.75" customHeight="1" x14ac:dyDescent="0.25"/>
    <row r="214" ht="18.75" customHeight="1" x14ac:dyDescent="0.25"/>
    <row r="215" ht="18.75" customHeight="1" x14ac:dyDescent="0.25"/>
    <row r="216" ht="18.75" customHeight="1" x14ac:dyDescent="0.25"/>
    <row r="217" ht="18.75" customHeight="1" x14ac:dyDescent="0.25"/>
    <row r="218" ht="18.75" customHeight="1" x14ac:dyDescent="0.25"/>
    <row r="219" ht="18.75" customHeight="1" x14ac:dyDescent="0.25"/>
    <row r="220" ht="18.75" customHeight="1" x14ac:dyDescent="0.25"/>
    <row r="221" ht="18.75" customHeight="1" x14ac:dyDescent="0.25"/>
    <row r="222" ht="18.75" customHeight="1" x14ac:dyDescent="0.25"/>
    <row r="223" ht="18.75" customHeight="1" x14ac:dyDescent="0.25"/>
    <row r="224" ht="18.75" customHeight="1" x14ac:dyDescent="0.25"/>
    <row r="225" ht="18.75" customHeight="1" x14ac:dyDescent="0.25"/>
    <row r="226" ht="18.75" customHeight="1" x14ac:dyDescent="0.25"/>
    <row r="227" ht="18.75" customHeight="1" x14ac:dyDescent="0.25"/>
    <row r="228" ht="18.75" customHeight="1" x14ac:dyDescent="0.25"/>
    <row r="229" ht="18.75" customHeight="1" x14ac:dyDescent="0.25"/>
    <row r="230" ht="18.75" customHeight="1" x14ac:dyDescent="0.25"/>
    <row r="231" ht="18.75" customHeight="1" x14ac:dyDescent="0.25"/>
    <row r="232" ht="18.75" customHeight="1" x14ac:dyDescent="0.25"/>
    <row r="233" ht="18.75" customHeight="1" x14ac:dyDescent="0.25"/>
    <row r="234" ht="18.75" customHeight="1" x14ac:dyDescent="0.25"/>
    <row r="235" ht="18.75" customHeight="1" x14ac:dyDescent="0.25"/>
    <row r="236" ht="18.75" customHeight="1" x14ac:dyDescent="0.25"/>
    <row r="237" ht="18.75" customHeight="1" x14ac:dyDescent="0.25"/>
    <row r="238" ht="18.75" customHeight="1" x14ac:dyDescent="0.25"/>
    <row r="239" ht="18.75" customHeight="1" x14ac:dyDescent="0.25"/>
    <row r="240" ht="18.75" customHeight="1" x14ac:dyDescent="0.25"/>
    <row r="241" ht="18.75" customHeight="1" x14ac:dyDescent="0.25"/>
    <row r="242" ht="18.75" customHeight="1" x14ac:dyDescent="0.25"/>
    <row r="243" ht="18.75" customHeight="1" x14ac:dyDescent="0.25"/>
    <row r="244" ht="18.75" customHeight="1" x14ac:dyDescent="0.25"/>
    <row r="245" ht="18.75" customHeight="1" x14ac:dyDescent="0.25"/>
    <row r="246" ht="18.75" customHeight="1" x14ac:dyDescent="0.25"/>
    <row r="247" ht="18.75" customHeight="1" x14ac:dyDescent="0.25"/>
    <row r="248" ht="18.75" customHeight="1" x14ac:dyDescent="0.25"/>
    <row r="249" ht="18.75" customHeight="1" x14ac:dyDescent="0.25"/>
    <row r="250" ht="18.75" customHeight="1" x14ac:dyDescent="0.25"/>
    <row r="251" ht="18.75" customHeight="1" x14ac:dyDescent="0.25"/>
    <row r="252" ht="18.75" customHeight="1" x14ac:dyDescent="0.25"/>
    <row r="253" ht="18.75" customHeight="1" x14ac:dyDescent="0.25"/>
    <row r="254" ht="18.75" customHeight="1" x14ac:dyDescent="0.25"/>
    <row r="255" ht="18.75" customHeight="1" x14ac:dyDescent="0.25"/>
    <row r="256" ht="18.75" customHeight="1" x14ac:dyDescent="0.25"/>
    <row r="257" ht="18.75" customHeight="1" x14ac:dyDescent="0.25"/>
    <row r="258" ht="18.75" customHeight="1" x14ac:dyDescent="0.25"/>
    <row r="259" ht="18.75" customHeight="1" x14ac:dyDescent="0.25"/>
    <row r="260" ht="18.75" customHeight="1" x14ac:dyDescent="0.25"/>
    <row r="261" ht="18.75" customHeight="1" x14ac:dyDescent="0.25"/>
    <row r="262" ht="18.75" customHeight="1" x14ac:dyDescent="0.25"/>
    <row r="263" ht="18.75" customHeight="1" x14ac:dyDescent="0.25"/>
    <row r="264" ht="18.75" customHeight="1" x14ac:dyDescent="0.25"/>
    <row r="265" ht="18.75" customHeight="1" x14ac:dyDescent="0.25"/>
    <row r="266" ht="18.75" customHeight="1" x14ac:dyDescent="0.25"/>
    <row r="267" ht="18.75" customHeight="1" x14ac:dyDescent="0.25"/>
    <row r="268" ht="18.75" customHeight="1" x14ac:dyDescent="0.25"/>
    <row r="269" ht="18.75" customHeight="1" x14ac:dyDescent="0.25"/>
    <row r="270" ht="18.75" customHeight="1" x14ac:dyDescent="0.25"/>
    <row r="271" ht="18.75" customHeight="1" x14ac:dyDescent="0.25"/>
    <row r="272" ht="18.75" customHeight="1" x14ac:dyDescent="0.25"/>
    <row r="273" ht="18.75" customHeight="1" x14ac:dyDescent="0.25"/>
    <row r="274" ht="18.75" customHeight="1" x14ac:dyDescent="0.25"/>
    <row r="275" ht="18.75" customHeight="1" x14ac:dyDescent="0.25"/>
    <row r="276" ht="18.75" customHeight="1" x14ac:dyDescent="0.25"/>
    <row r="277" ht="18.75" customHeight="1" x14ac:dyDescent="0.25"/>
    <row r="278" ht="18.75" customHeight="1" x14ac:dyDescent="0.25"/>
    <row r="279" ht="18.75" customHeight="1" x14ac:dyDescent="0.25"/>
    <row r="280" ht="18.75" customHeight="1" x14ac:dyDescent="0.25"/>
    <row r="281" ht="18.75" customHeight="1" x14ac:dyDescent="0.25"/>
    <row r="282" ht="18.75" customHeight="1" x14ac:dyDescent="0.25"/>
    <row r="283" ht="18.75" customHeight="1" x14ac:dyDescent="0.25"/>
    <row r="284" ht="18.75" customHeight="1" x14ac:dyDescent="0.25"/>
    <row r="285" ht="18.75" customHeight="1" x14ac:dyDescent="0.25"/>
    <row r="286" ht="18.75" customHeight="1" x14ac:dyDescent="0.25"/>
    <row r="287" ht="18.75" customHeight="1" x14ac:dyDescent="0.25"/>
    <row r="288" ht="18.75" customHeight="1" x14ac:dyDescent="0.25"/>
    <row r="289" ht="18.75" customHeight="1" x14ac:dyDescent="0.25"/>
    <row r="290" ht="18.75" customHeight="1" x14ac:dyDescent="0.25"/>
    <row r="291" ht="18.75" customHeight="1" x14ac:dyDescent="0.25"/>
    <row r="292" ht="18.75" customHeight="1" x14ac:dyDescent="0.25"/>
    <row r="293" ht="18.75" customHeight="1" x14ac:dyDescent="0.25"/>
    <row r="294" ht="18.75" customHeight="1" x14ac:dyDescent="0.25"/>
    <row r="295" ht="18.75" customHeight="1" x14ac:dyDescent="0.25"/>
    <row r="296" ht="18.75" customHeight="1" x14ac:dyDescent="0.25"/>
    <row r="297" ht="18.75" customHeight="1" x14ac:dyDescent="0.25"/>
    <row r="298" ht="18.75" customHeight="1" x14ac:dyDescent="0.25"/>
    <row r="299" ht="18.75" customHeight="1" x14ac:dyDescent="0.25"/>
    <row r="300" ht="18.75" customHeight="1" x14ac:dyDescent="0.25"/>
    <row r="301" ht="18.75" customHeight="1" x14ac:dyDescent="0.25"/>
    <row r="302" ht="18.75" customHeight="1" x14ac:dyDescent="0.25"/>
    <row r="303" ht="18.75" customHeight="1" x14ac:dyDescent="0.25"/>
    <row r="304" ht="18.75" customHeight="1" x14ac:dyDescent="0.25"/>
    <row r="305" ht="18.75" customHeight="1" x14ac:dyDescent="0.25"/>
    <row r="306" ht="18.75" customHeight="1" x14ac:dyDescent="0.25"/>
    <row r="307" ht="18.75" customHeight="1" x14ac:dyDescent="0.25"/>
    <row r="308" ht="18.75" customHeight="1" x14ac:dyDescent="0.25"/>
    <row r="309" ht="18.75" customHeight="1" x14ac:dyDescent="0.25"/>
    <row r="310" ht="18.75" customHeight="1" x14ac:dyDescent="0.25"/>
    <row r="311" ht="18.75" customHeight="1" x14ac:dyDescent="0.25"/>
    <row r="312" ht="18.75" customHeight="1" x14ac:dyDescent="0.25"/>
    <row r="313" ht="18.75" customHeight="1" x14ac:dyDescent="0.25"/>
    <row r="314" ht="18.75" customHeight="1" x14ac:dyDescent="0.25"/>
    <row r="315" ht="18.75" customHeight="1" x14ac:dyDescent="0.25"/>
    <row r="316" ht="18.75" customHeight="1" x14ac:dyDescent="0.25"/>
    <row r="317" ht="18.75" customHeight="1" x14ac:dyDescent="0.25"/>
    <row r="318" ht="18.75" customHeight="1" x14ac:dyDescent="0.25"/>
    <row r="319" ht="18.75" customHeight="1" x14ac:dyDescent="0.25"/>
    <row r="320" ht="18.75" customHeight="1" x14ac:dyDescent="0.25"/>
    <row r="321" ht="18.75" customHeight="1" x14ac:dyDescent="0.25"/>
    <row r="322" ht="18.75" customHeight="1" x14ac:dyDescent="0.25"/>
    <row r="323" ht="18.75" customHeight="1" x14ac:dyDescent="0.25"/>
    <row r="324" ht="18.75" customHeight="1" x14ac:dyDescent="0.25"/>
    <row r="325" ht="18.75" customHeight="1" x14ac:dyDescent="0.25"/>
    <row r="326" ht="18.75" customHeight="1" x14ac:dyDescent="0.25"/>
    <row r="327" ht="18.75" customHeight="1" x14ac:dyDescent="0.25"/>
    <row r="328" ht="18.75" customHeight="1" x14ac:dyDescent="0.25"/>
    <row r="329" ht="18.75" customHeight="1" x14ac:dyDescent="0.25"/>
    <row r="330" ht="18.75" customHeight="1" x14ac:dyDescent="0.25"/>
    <row r="331" ht="18.75" customHeight="1" x14ac:dyDescent="0.25"/>
    <row r="332" ht="18.75" customHeight="1" x14ac:dyDescent="0.25"/>
    <row r="333" ht="18.75" customHeight="1" x14ac:dyDescent="0.25"/>
    <row r="334" ht="18.75" customHeight="1" x14ac:dyDescent="0.25"/>
    <row r="335" ht="18.75" customHeight="1" x14ac:dyDescent="0.25"/>
    <row r="336" ht="18.75" customHeight="1" x14ac:dyDescent="0.25"/>
    <row r="337" ht="18.75" customHeight="1" x14ac:dyDescent="0.25"/>
    <row r="338" ht="18.75" customHeight="1" x14ac:dyDescent="0.25"/>
    <row r="339" ht="18.75" customHeight="1" x14ac:dyDescent="0.25"/>
    <row r="340" ht="18.75" customHeight="1" x14ac:dyDescent="0.25"/>
    <row r="341" ht="18.75" customHeight="1" x14ac:dyDescent="0.25"/>
    <row r="342" ht="18.75" customHeight="1" x14ac:dyDescent="0.25"/>
    <row r="343" ht="18.75" customHeight="1" x14ac:dyDescent="0.25"/>
    <row r="344" ht="18.75" customHeight="1" x14ac:dyDescent="0.25"/>
    <row r="345" ht="18.75" customHeight="1" x14ac:dyDescent="0.25"/>
    <row r="346" ht="18.75" customHeight="1" x14ac:dyDescent="0.25"/>
    <row r="347" ht="18.75" customHeight="1" x14ac:dyDescent="0.25"/>
    <row r="348" ht="18.75" customHeight="1" x14ac:dyDescent="0.25"/>
    <row r="349" ht="18.75" customHeight="1" x14ac:dyDescent="0.25"/>
    <row r="350" ht="18.75" customHeight="1" x14ac:dyDescent="0.25"/>
    <row r="351" ht="18.75" customHeight="1" x14ac:dyDescent="0.25"/>
    <row r="352" ht="18.75" customHeight="1" x14ac:dyDescent="0.25"/>
    <row r="353" ht="18.75" customHeight="1" x14ac:dyDescent="0.25"/>
    <row r="354" ht="18.75" customHeight="1" x14ac:dyDescent="0.25"/>
    <row r="355" ht="18.75" customHeight="1" x14ac:dyDescent="0.25"/>
    <row r="356" ht="18.75" customHeight="1" x14ac:dyDescent="0.25"/>
    <row r="357" ht="18.75" customHeight="1" x14ac:dyDescent="0.25"/>
    <row r="358" ht="18.75" customHeight="1" x14ac:dyDescent="0.25"/>
    <row r="359" ht="18.75" customHeight="1" x14ac:dyDescent="0.25"/>
    <row r="360" ht="18.75" customHeight="1" x14ac:dyDescent="0.25"/>
    <row r="361" ht="18.75" customHeight="1" x14ac:dyDescent="0.25"/>
    <row r="362" ht="18.75" customHeight="1" x14ac:dyDescent="0.25"/>
    <row r="363" ht="18.75" customHeight="1" x14ac:dyDescent="0.25"/>
    <row r="364" ht="18.75" customHeight="1" x14ac:dyDescent="0.25"/>
    <row r="365" ht="18.75" customHeight="1" x14ac:dyDescent="0.25"/>
    <row r="366" ht="18.75" customHeight="1" x14ac:dyDescent="0.25"/>
    <row r="367" ht="18.75" customHeight="1" x14ac:dyDescent="0.25"/>
    <row r="368" ht="18.75" customHeight="1" x14ac:dyDescent="0.25"/>
    <row r="369" ht="18.75" customHeight="1" x14ac:dyDescent="0.25"/>
    <row r="370" ht="18.75" customHeight="1" x14ac:dyDescent="0.25"/>
    <row r="371" ht="18.75" customHeight="1" x14ac:dyDescent="0.25"/>
    <row r="372" ht="18.75" customHeight="1" x14ac:dyDescent="0.25"/>
    <row r="373" ht="18.75" customHeight="1" x14ac:dyDescent="0.25"/>
    <row r="374" ht="18.75" customHeight="1" x14ac:dyDescent="0.25"/>
    <row r="375" ht="18.75" customHeight="1" x14ac:dyDescent="0.25"/>
    <row r="376" ht="18.75" customHeight="1" x14ac:dyDescent="0.25"/>
    <row r="377" ht="18.75" customHeight="1" x14ac:dyDescent="0.25"/>
    <row r="378" ht="18.75" customHeight="1" x14ac:dyDescent="0.25"/>
    <row r="379" ht="18.75" customHeight="1" x14ac:dyDescent="0.25"/>
    <row r="380" ht="18.75" customHeight="1" x14ac:dyDescent="0.25"/>
    <row r="381" ht="18.75" customHeight="1" x14ac:dyDescent="0.25"/>
    <row r="382" ht="18.75" customHeight="1" x14ac:dyDescent="0.25"/>
    <row r="383" ht="18.75" customHeight="1" x14ac:dyDescent="0.25"/>
    <row r="384" ht="18.75" customHeight="1" x14ac:dyDescent="0.25"/>
    <row r="385" ht="18.75" customHeight="1" x14ac:dyDescent="0.25"/>
    <row r="386" ht="18.75" customHeight="1" x14ac:dyDescent="0.25"/>
    <row r="387" ht="18.75" customHeight="1" x14ac:dyDescent="0.25"/>
    <row r="388" ht="18.75" customHeight="1" x14ac:dyDescent="0.25"/>
    <row r="389" ht="18.75" customHeight="1" x14ac:dyDescent="0.25"/>
    <row r="390" ht="18.75" customHeight="1" x14ac:dyDescent="0.25"/>
    <row r="391" ht="18.75" customHeight="1" x14ac:dyDescent="0.25"/>
    <row r="392" ht="18.75" customHeight="1" x14ac:dyDescent="0.25"/>
    <row r="393" ht="18.75" customHeight="1" x14ac:dyDescent="0.25"/>
    <row r="394" ht="18.75" customHeight="1" x14ac:dyDescent="0.25"/>
    <row r="395" ht="18.75" customHeight="1" x14ac:dyDescent="0.25"/>
    <row r="396" ht="18.75" customHeight="1" x14ac:dyDescent="0.25"/>
    <row r="397" ht="18.75" customHeight="1" x14ac:dyDescent="0.25"/>
    <row r="398" ht="18.75" customHeight="1" x14ac:dyDescent="0.25"/>
    <row r="399" ht="18.75" customHeight="1" x14ac:dyDescent="0.25"/>
    <row r="400" ht="18.75" customHeight="1" x14ac:dyDescent="0.25"/>
    <row r="401" ht="18.75" customHeight="1" x14ac:dyDescent="0.25"/>
    <row r="402" ht="18.75" customHeight="1" x14ac:dyDescent="0.25"/>
    <row r="403" ht="18.75" customHeight="1" x14ac:dyDescent="0.25"/>
    <row r="404" ht="18.75" customHeight="1" x14ac:dyDescent="0.25"/>
    <row r="405" ht="18.75" customHeight="1" x14ac:dyDescent="0.25"/>
    <row r="406" ht="18.75" customHeight="1" x14ac:dyDescent="0.25"/>
    <row r="407" ht="18.75" customHeight="1" x14ac:dyDescent="0.25"/>
    <row r="408" ht="18.75" customHeight="1" x14ac:dyDescent="0.25"/>
    <row r="409" ht="18.75" customHeight="1" x14ac:dyDescent="0.25"/>
    <row r="410" ht="18.75" customHeight="1" x14ac:dyDescent="0.25"/>
    <row r="411" ht="18.75" customHeight="1" x14ac:dyDescent="0.25"/>
    <row r="412" ht="18.75" customHeight="1" x14ac:dyDescent="0.25"/>
    <row r="413" ht="18.75" customHeight="1" x14ac:dyDescent="0.25"/>
    <row r="414" ht="18.75" customHeight="1" x14ac:dyDescent="0.25"/>
    <row r="415" ht="18.75" customHeight="1" x14ac:dyDescent="0.25"/>
    <row r="416" ht="18.75" customHeight="1" x14ac:dyDescent="0.25"/>
    <row r="417" ht="18.75" customHeight="1" x14ac:dyDescent="0.25"/>
    <row r="418" ht="18.75" customHeight="1" x14ac:dyDescent="0.25"/>
    <row r="419" ht="18.75" customHeight="1" x14ac:dyDescent="0.25"/>
    <row r="420" ht="18.75" customHeight="1" x14ac:dyDescent="0.25"/>
    <row r="421" ht="18.75" customHeight="1" x14ac:dyDescent="0.25"/>
    <row r="422" ht="18.75" customHeight="1" x14ac:dyDescent="0.25"/>
    <row r="423" ht="18.75" customHeight="1" x14ac:dyDescent="0.25"/>
    <row r="424" ht="18.75" customHeight="1" x14ac:dyDescent="0.25"/>
    <row r="425" ht="18.75" customHeight="1" x14ac:dyDescent="0.25"/>
    <row r="426" ht="18.75" customHeight="1" x14ac:dyDescent="0.25"/>
    <row r="427" ht="18.75" customHeight="1" x14ac:dyDescent="0.25"/>
    <row r="428" ht="18.75" customHeight="1" x14ac:dyDescent="0.25"/>
    <row r="429" ht="18.75" customHeight="1" x14ac:dyDescent="0.25"/>
    <row r="430" ht="18.75" customHeight="1" x14ac:dyDescent="0.25"/>
    <row r="431" ht="18.75" customHeight="1" x14ac:dyDescent="0.25"/>
    <row r="432" ht="18.75" customHeight="1" x14ac:dyDescent="0.25"/>
    <row r="433" ht="18.75" customHeight="1" x14ac:dyDescent="0.25"/>
    <row r="434" ht="18.75" customHeight="1" x14ac:dyDescent="0.25"/>
    <row r="435" ht="18.75" customHeight="1" x14ac:dyDescent="0.25"/>
    <row r="436" ht="18.75" customHeight="1" x14ac:dyDescent="0.25"/>
    <row r="437" ht="18.75" customHeight="1" x14ac:dyDescent="0.25"/>
    <row r="438" ht="18.75" customHeight="1" x14ac:dyDescent="0.25"/>
    <row r="439" ht="18.75" customHeight="1" x14ac:dyDescent="0.25"/>
    <row r="440" ht="18.75" customHeight="1" x14ac:dyDescent="0.25"/>
    <row r="441" ht="18.75" customHeight="1" x14ac:dyDescent="0.25"/>
    <row r="442" ht="18.75" customHeight="1" x14ac:dyDescent="0.25"/>
    <row r="443" ht="18.75" customHeight="1" x14ac:dyDescent="0.25"/>
    <row r="444" ht="18.75" customHeight="1" x14ac:dyDescent="0.25"/>
    <row r="445" ht="18.75" customHeight="1" x14ac:dyDescent="0.25"/>
    <row r="446" ht="18.75" customHeight="1" x14ac:dyDescent="0.25"/>
    <row r="447" ht="18.75" customHeight="1" x14ac:dyDescent="0.25"/>
    <row r="448" ht="18.75" customHeight="1" x14ac:dyDescent="0.25"/>
    <row r="449" ht="18.75" customHeight="1" x14ac:dyDescent="0.25"/>
    <row r="450" ht="18.75" customHeight="1" x14ac:dyDescent="0.25"/>
    <row r="451" ht="18.75" customHeight="1" x14ac:dyDescent="0.25"/>
    <row r="452" ht="18.75" customHeight="1" x14ac:dyDescent="0.25"/>
    <row r="453" ht="18.75" customHeight="1" x14ac:dyDescent="0.25"/>
    <row r="454" ht="18.75" customHeight="1" x14ac:dyDescent="0.25"/>
    <row r="455" ht="18.75" customHeight="1" x14ac:dyDescent="0.25"/>
    <row r="456" ht="18.75" customHeight="1" x14ac:dyDescent="0.25"/>
    <row r="457" ht="18.75" customHeight="1" x14ac:dyDescent="0.25"/>
    <row r="458" ht="18.75" customHeight="1" x14ac:dyDescent="0.25"/>
    <row r="459" ht="18.75" customHeight="1" x14ac:dyDescent="0.25"/>
    <row r="460" ht="18.75" customHeight="1" x14ac:dyDescent="0.25"/>
    <row r="461" ht="18.75" customHeight="1" x14ac:dyDescent="0.25"/>
    <row r="462" ht="18.75" customHeight="1" x14ac:dyDescent="0.25"/>
    <row r="463" ht="18.75" customHeight="1" x14ac:dyDescent="0.25"/>
    <row r="464" ht="18.75" customHeight="1" x14ac:dyDescent="0.25"/>
    <row r="465" ht="18.75" customHeight="1" x14ac:dyDescent="0.25"/>
    <row r="466" ht="18.75" customHeight="1" x14ac:dyDescent="0.25"/>
    <row r="467" ht="18.75" customHeight="1" x14ac:dyDescent="0.25"/>
    <row r="468" ht="18.75" customHeight="1" x14ac:dyDescent="0.25"/>
    <row r="469" ht="18.75" customHeight="1" x14ac:dyDescent="0.25"/>
    <row r="470" ht="18.75" customHeight="1" x14ac:dyDescent="0.25"/>
    <row r="471" ht="18.75" customHeight="1" x14ac:dyDescent="0.25"/>
    <row r="472" ht="18.75" customHeight="1" x14ac:dyDescent="0.25"/>
    <row r="473" ht="18.75" customHeight="1" x14ac:dyDescent="0.25"/>
    <row r="474" ht="18.75" customHeight="1" x14ac:dyDescent="0.25"/>
    <row r="475" ht="18.75" customHeight="1" x14ac:dyDescent="0.25"/>
    <row r="476" ht="18.75" customHeight="1" x14ac:dyDescent="0.25"/>
    <row r="477" ht="18.75" customHeight="1" x14ac:dyDescent="0.25"/>
    <row r="478" ht="18.75" customHeight="1" x14ac:dyDescent="0.25"/>
    <row r="479" ht="18.75" customHeight="1" x14ac:dyDescent="0.25"/>
    <row r="480" ht="18.75" customHeight="1" x14ac:dyDescent="0.25"/>
    <row r="481" ht="18.75" customHeight="1" x14ac:dyDescent="0.25"/>
    <row r="482" ht="18.75" customHeight="1" x14ac:dyDescent="0.25"/>
    <row r="483" ht="18.75" customHeight="1" x14ac:dyDescent="0.25"/>
    <row r="484" ht="18.75" customHeight="1" x14ac:dyDescent="0.25"/>
    <row r="485" ht="18.75" customHeight="1" x14ac:dyDescent="0.25"/>
    <row r="486" ht="18.75" customHeight="1" x14ac:dyDescent="0.25"/>
    <row r="487" ht="18.75" customHeight="1" x14ac:dyDescent="0.25"/>
    <row r="488" ht="18.75" customHeight="1" x14ac:dyDescent="0.25"/>
    <row r="489" ht="18.75" customHeight="1" x14ac:dyDescent="0.25"/>
    <row r="490" ht="18.75" customHeight="1" x14ac:dyDescent="0.25"/>
    <row r="491" ht="18.75" customHeight="1" x14ac:dyDescent="0.25"/>
    <row r="492" ht="18.75" customHeight="1" x14ac:dyDescent="0.25"/>
    <row r="493" ht="18.75" customHeight="1" x14ac:dyDescent="0.25"/>
    <row r="494" ht="18.75" customHeight="1" x14ac:dyDescent="0.25"/>
    <row r="495" ht="18.75" customHeight="1" x14ac:dyDescent="0.25"/>
    <row r="496" ht="18.75" customHeight="1" x14ac:dyDescent="0.25"/>
    <row r="497" ht="18.75" customHeight="1" x14ac:dyDescent="0.25"/>
    <row r="498" ht="18.75" customHeight="1" x14ac:dyDescent="0.25"/>
    <row r="499" ht="18.75" customHeight="1" x14ac:dyDescent="0.25"/>
    <row r="500" ht="18.75" customHeight="1" x14ac:dyDescent="0.25"/>
    <row r="501" ht="18.75" customHeight="1" x14ac:dyDescent="0.25"/>
    <row r="502" ht="18.75" customHeight="1" x14ac:dyDescent="0.25"/>
    <row r="503" ht="18.75" customHeight="1" x14ac:dyDescent="0.25"/>
    <row r="504" ht="18.75" customHeight="1" x14ac:dyDescent="0.25"/>
    <row r="505" ht="18.75" customHeight="1" x14ac:dyDescent="0.25"/>
    <row r="506" ht="18.75" customHeight="1" x14ac:dyDescent="0.25"/>
    <row r="507" ht="18.75" customHeight="1" x14ac:dyDescent="0.25"/>
    <row r="508" ht="18.75" customHeight="1" x14ac:dyDescent="0.25"/>
    <row r="509" ht="18.75" customHeight="1" x14ac:dyDescent="0.25"/>
    <row r="510" ht="18.75" customHeight="1" x14ac:dyDescent="0.25"/>
    <row r="511" ht="18.75" customHeight="1" x14ac:dyDescent="0.25"/>
    <row r="512" ht="18.75" customHeight="1" x14ac:dyDescent="0.25"/>
    <row r="513" ht="18.75" customHeight="1" x14ac:dyDescent="0.25"/>
    <row r="514" ht="18.75" customHeight="1" x14ac:dyDescent="0.25"/>
    <row r="515" ht="18.75" customHeight="1" x14ac:dyDescent="0.25"/>
    <row r="516" ht="18.75" customHeight="1" x14ac:dyDescent="0.25"/>
    <row r="517" ht="18.75" customHeight="1" x14ac:dyDescent="0.25"/>
    <row r="518" ht="18.75" customHeight="1" x14ac:dyDescent="0.25"/>
    <row r="519" ht="18.75" customHeight="1" x14ac:dyDescent="0.25"/>
    <row r="520" ht="18.75" customHeight="1" x14ac:dyDescent="0.25"/>
    <row r="521" ht="18.75" customHeight="1" x14ac:dyDescent="0.25"/>
    <row r="522" ht="18.75" customHeight="1" x14ac:dyDescent="0.25"/>
    <row r="523" ht="18.75" customHeight="1" x14ac:dyDescent="0.25"/>
    <row r="524" ht="18.75" customHeight="1" x14ac:dyDescent="0.25"/>
    <row r="525" ht="18.75" customHeight="1" x14ac:dyDescent="0.25"/>
    <row r="526" ht="18.75" customHeight="1" x14ac:dyDescent="0.25"/>
    <row r="527" ht="18.75" customHeight="1" x14ac:dyDescent="0.25"/>
    <row r="528" ht="18.75" customHeight="1" x14ac:dyDescent="0.25"/>
    <row r="529" ht="18.75" customHeight="1" x14ac:dyDescent="0.25"/>
    <row r="530" ht="18.75" customHeight="1" x14ac:dyDescent="0.25"/>
    <row r="531" ht="18.75" customHeight="1" x14ac:dyDescent="0.25"/>
    <row r="532" ht="18.75" customHeight="1" x14ac:dyDescent="0.25"/>
    <row r="533" ht="18.75" customHeight="1" x14ac:dyDescent="0.25"/>
    <row r="534" ht="18.75" customHeight="1" x14ac:dyDescent="0.25"/>
    <row r="535" ht="18.75" customHeight="1" x14ac:dyDescent="0.25"/>
    <row r="536" ht="18.75" customHeight="1" x14ac:dyDescent="0.25"/>
    <row r="537" ht="18.75" customHeight="1" x14ac:dyDescent="0.25"/>
    <row r="538" ht="18.75" customHeight="1" x14ac:dyDescent="0.25"/>
    <row r="539" ht="18.75" customHeight="1" x14ac:dyDescent="0.25"/>
    <row r="540" ht="18.75" customHeight="1" x14ac:dyDescent="0.25"/>
    <row r="541" ht="18.75" customHeight="1" x14ac:dyDescent="0.25"/>
    <row r="542" ht="18.75" customHeight="1" x14ac:dyDescent="0.25"/>
    <row r="543" ht="18.75" customHeight="1" x14ac:dyDescent="0.25"/>
    <row r="544" ht="18.75" customHeight="1" x14ac:dyDescent="0.25"/>
    <row r="545" ht="18.75" customHeight="1" x14ac:dyDescent="0.25"/>
    <row r="546" ht="18.75" customHeight="1" x14ac:dyDescent="0.25"/>
    <row r="547" ht="18.75" customHeight="1" x14ac:dyDescent="0.25"/>
    <row r="548" ht="18.75" customHeight="1" x14ac:dyDescent="0.25"/>
    <row r="549" ht="18.75" customHeight="1" x14ac:dyDescent="0.25"/>
    <row r="550" ht="18.75" customHeight="1" x14ac:dyDescent="0.25"/>
    <row r="551" ht="18.75" customHeight="1" x14ac:dyDescent="0.25"/>
    <row r="552" ht="18.75" customHeight="1" x14ac:dyDescent="0.25"/>
    <row r="553" ht="18.75" customHeight="1" x14ac:dyDescent="0.25"/>
    <row r="554" ht="18.75" customHeight="1" x14ac:dyDescent="0.25"/>
    <row r="555" ht="18.75" customHeight="1" x14ac:dyDescent="0.25"/>
    <row r="556" ht="18.75" customHeight="1" x14ac:dyDescent="0.25"/>
    <row r="557" ht="18.75" customHeight="1" x14ac:dyDescent="0.25"/>
    <row r="558" ht="18.75" customHeight="1" x14ac:dyDescent="0.25"/>
    <row r="559" ht="18.75" customHeight="1" x14ac:dyDescent="0.25"/>
    <row r="560" ht="18.75" customHeight="1" x14ac:dyDescent="0.25"/>
    <row r="561" ht="18.75" customHeight="1" x14ac:dyDescent="0.25"/>
    <row r="562" ht="18.75" customHeight="1" x14ac:dyDescent="0.25"/>
    <row r="563" ht="18.75" customHeight="1" x14ac:dyDescent="0.25"/>
    <row r="564" ht="18.75" customHeight="1" x14ac:dyDescent="0.25"/>
    <row r="565" ht="18.75" customHeight="1" x14ac:dyDescent="0.25"/>
    <row r="566" ht="18.75" customHeight="1" x14ac:dyDescent="0.25"/>
    <row r="567" ht="18.75" customHeight="1" x14ac:dyDescent="0.25"/>
    <row r="568" ht="18.75" customHeight="1" x14ac:dyDescent="0.25"/>
    <row r="569" ht="18.75" customHeight="1" x14ac:dyDescent="0.25"/>
    <row r="570" ht="18.75" customHeight="1" x14ac:dyDescent="0.25"/>
    <row r="571" ht="18.75" customHeight="1" x14ac:dyDescent="0.25"/>
    <row r="572" ht="18.75" customHeight="1" x14ac:dyDescent="0.25"/>
    <row r="573" ht="18.75" customHeight="1" x14ac:dyDescent="0.25"/>
    <row r="574" ht="18.75" customHeight="1" x14ac:dyDescent="0.25"/>
    <row r="575" ht="18.75" customHeight="1" x14ac:dyDescent="0.25"/>
    <row r="576" ht="18.75" customHeight="1" x14ac:dyDescent="0.25"/>
    <row r="577" ht="18.75" customHeight="1" x14ac:dyDescent="0.25"/>
    <row r="578" ht="18.75" customHeight="1" x14ac:dyDescent="0.25"/>
    <row r="579" ht="18.75" customHeight="1" x14ac:dyDescent="0.25"/>
    <row r="580" ht="18.75" customHeight="1" x14ac:dyDescent="0.25"/>
    <row r="581" ht="18.75" customHeight="1" x14ac:dyDescent="0.25"/>
    <row r="582" ht="18.75" customHeight="1" x14ac:dyDescent="0.25"/>
    <row r="583" ht="18.75" customHeight="1" x14ac:dyDescent="0.25"/>
    <row r="584" ht="18.75" customHeight="1" x14ac:dyDescent="0.25"/>
    <row r="585" ht="18.75" customHeight="1" x14ac:dyDescent="0.25"/>
    <row r="586" ht="18.75" customHeight="1" x14ac:dyDescent="0.25"/>
    <row r="587" ht="18.75" customHeight="1" x14ac:dyDescent="0.25"/>
    <row r="588" ht="18.75" customHeight="1" x14ac:dyDescent="0.25"/>
    <row r="589" ht="18.75" customHeight="1" x14ac:dyDescent="0.25"/>
    <row r="590" ht="18.75" customHeight="1" x14ac:dyDescent="0.25"/>
    <row r="591" ht="18.75" customHeight="1" x14ac:dyDescent="0.25"/>
    <row r="592" ht="18.75" customHeight="1" x14ac:dyDescent="0.25"/>
    <row r="593" ht="18.75" customHeight="1" x14ac:dyDescent="0.25"/>
    <row r="594" ht="18.75" customHeight="1" x14ac:dyDescent="0.25"/>
    <row r="595" ht="18.75" customHeight="1" x14ac:dyDescent="0.25"/>
    <row r="596" ht="18.75" customHeight="1" x14ac:dyDescent="0.25"/>
    <row r="597" ht="18.75" customHeight="1" x14ac:dyDescent="0.25"/>
    <row r="598" ht="18.75" customHeight="1" x14ac:dyDescent="0.25"/>
    <row r="599" ht="18.75" customHeight="1" x14ac:dyDescent="0.25"/>
    <row r="600" ht="18.75" customHeight="1" x14ac:dyDescent="0.25"/>
    <row r="601" ht="18.75" customHeight="1" x14ac:dyDescent="0.25"/>
    <row r="602" ht="18.75" customHeight="1" x14ac:dyDescent="0.25"/>
    <row r="603" ht="18.75" customHeight="1" x14ac:dyDescent="0.25"/>
    <row r="604" ht="18.75" customHeight="1" x14ac:dyDescent="0.25"/>
    <row r="605" ht="18.75" customHeight="1" x14ac:dyDescent="0.25"/>
    <row r="606" ht="18.75" customHeight="1" x14ac:dyDescent="0.25"/>
    <row r="607" ht="18.75" customHeight="1" x14ac:dyDescent="0.25"/>
    <row r="608" ht="18.75" customHeight="1" x14ac:dyDescent="0.25"/>
    <row r="609" ht="18.75" customHeight="1" x14ac:dyDescent="0.25"/>
    <row r="610" ht="18.75" customHeight="1" x14ac:dyDescent="0.25"/>
    <row r="611" ht="18.75" customHeight="1" x14ac:dyDescent="0.25"/>
    <row r="612" ht="18.75" customHeight="1" x14ac:dyDescent="0.25"/>
    <row r="613" ht="18.75" customHeight="1" x14ac:dyDescent="0.25"/>
    <row r="614" ht="18.75" customHeight="1" x14ac:dyDescent="0.25"/>
    <row r="615" ht="18.75" customHeight="1" x14ac:dyDescent="0.25"/>
    <row r="616" ht="18.75" customHeight="1" x14ac:dyDescent="0.25"/>
    <row r="617" ht="18.75" customHeight="1" x14ac:dyDescent="0.25"/>
    <row r="618" ht="18.75" customHeight="1" x14ac:dyDescent="0.25"/>
    <row r="619" ht="18.75" customHeight="1" x14ac:dyDescent="0.25"/>
    <row r="620" ht="18.75" customHeight="1" x14ac:dyDescent="0.25"/>
    <row r="621" ht="18.75" customHeight="1" x14ac:dyDescent="0.25"/>
    <row r="622" ht="18.75" customHeight="1" x14ac:dyDescent="0.25"/>
    <row r="623" ht="18.75" customHeight="1" x14ac:dyDescent="0.25"/>
    <row r="624" ht="18.75" customHeight="1" x14ac:dyDescent="0.25"/>
    <row r="625" ht="18.75" customHeight="1" x14ac:dyDescent="0.25"/>
    <row r="626" ht="18.75" customHeight="1" x14ac:dyDescent="0.25"/>
    <row r="627" ht="18.75" customHeight="1" x14ac:dyDescent="0.25"/>
    <row r="628" ht="18.75" customHeight="1" x14ac:dyDescent="0.25"/>
    <row r="629" ht="18.75" customHeight="1" x14ac:dyDescent="0.25"/>
    <row r="630" ht="18.75" customHeight="1" x14ac:dyDescent="0.25"/>
    <row r="631" ht="18.75" customHeight="1" x14ac:dyDescent="0.25"/>
    <row r="632" ht="18.75" customHeight="1" x14ac:dyDescent="0.25"/>
    <row r="633" ht="18.75" customHeight="1" x14ac:dyDescent="0.25"/>
    <row r="634" ht="18.75" customHeight="1" x14ac:dyDescent="0.25"/>
    <row r="635" ht="18.75" customHeight="1" x14ac:dyDescent="0.25"/>
    <row r="636" ht="18.75" customHeight="1" x14ac:dyDescent="0.25"/>
    <row r="637" ht="18.75" customHeight="1" x14ac:dyDescent="0.25"/>
    <row r="638" ht="18.75" customHeight="1" x14ac:dyDescent="0.25"/>
    <row r="639" ht="18.75" customHeight="1" x14ac:dyDescent="0.25"/>
    <row r="640" ht="18.75" customHeight="1" x14ac:dyDescent="0.25"/>
    <row r="641" ht="18.75" customHeight="1" x14ac:dyDescent="0.25"/>
    <row r="642" ht="18.75" customHeight="1" x14ac:dyDescent="0.25"/>
    <row r="643" ht="18.75" customHeight="1" x14ac:dyDescent="0.25"/>
    <row r="644" ht="18.75" customHeight="1" x14ac:dyDescent="0.25"/>
    <row r="645" ht="18.75" customHeight="1" x14ac:dyDescent="0.25"/>
    <row r="646" ht="18.75" customHeight="1" x14ac:dyDescent="0.25"/>
    <row r="647" ht="18.75" customHeight="1" x14ac:dyDescent="0.25"/>
    <row r="648" ht="18.75" customHeight="1" x14ac:dyDescent="0.25"/>
    <row r="649" ht="18.75" customHeight="1" x14ac:dyDescent="0.25"/>
    <row r="650" ht="18.75" customHeight="1" x14ac:dyDescent="0.25"/>
    <row r="651" ht="18.75" customHeight="1" x14ac:dyDescent="0.25"/>
    <row r="652" ht="18.75" customHeight="1" x14ac:dyDescent="0.25"/>
    <row r="653" ht="18.75" customHeight="1" x14ac:dyDescent="0.25"/>
    <row r="654" ht="18.75" customHeight="1" x14ac:dyDescent="0.25"/>
    <row r="655" ht="18.75" customHeight="1" x14ac:dyDescent="0.25"/>
    <row r="656" ht="18.75" customHeight="1" x14ac:dyDescent="0.25"/>
    <row r="657" ht="18.75" customHeight="1" x14ac:dyDescent="0.25"/>
    <row r="658" ht="18.75" customHeight="1" x14ac:dyDescent="0.25"/>
    <row r="659" ht="18.75" customHeight="1" x14ac:dyDescent="0.25"/>
    <row r="660" ht="18.75" customHeight="1" x14ac:dyDescent="0.25"/>
    <row r="661" ht="18.75" customHeight="1" x14ac:dyDescent="0.25"/>
    <row r="662" ht="18.75" customHeight="1" x14ac:dyDescent="0.25"/>
    <row r="663" ht="18.75" customHeight="1" x14ac:dyDescent="0.25"/>
    <row r="664" ht="18.75" customHeight="1" x14ac:dyDescent="0.25"/>
    <row r="665" ht="18.75" customHeight="1" x14ac:dyDescent="0.25"/>
    <row r="666" ht="18.75" customHeight="1" x14ac:dyDescent="0.25"/>
    <row r="667" ht="18.75" customHeight="1" x14ac:dyDescent="0.25"/>
    <row r="668" ht="18.75" customHeight="1" x14ac:dyDescent="0.25"/>
    <row r="669" ht="18.75" customHeight="1" x14ac:dyDescent="0.25"/>
    <row r="670" ht="18.75" customHeight="1" x14ac:dyDescent="0.25"/>
    <row r="671" ht="18.75" customHeight="1" x14ac:dyDescent="0.25"/>
    <row r="672" ht="18.75" customHeight="1" x14ac:dyDescent="0.25"/>
    <row r="673" ht="18.75" customHeight="1" x14ac:dyDescent="0.25"/>
    <row r="674" ht="18.75" customHeight="1" x14ac:dyDescent="0.25"/>
    <row r="675" ht="18.75" customHeight="1" x14ac:dyDescent="0.25"/>
    <row r="676" ht="18.75" customHeight="1" x14ac:dyDescent="0.25"/>
    <row r="677" ht="18.75" customHeight="1" x14ac:dyDescent="0.25"/>
    <row r="678" ht="18.75" customHeight="1" x14ac:dyDescent="0.25"/>
    <row r="679" ht="18.75" customHeight="1" x14ac:dyDescent="0.25"/>
    <row r="680" ht="18.75" customHeight="1" x14ac:dyDescent="0.25"/>
    <row r="681" ht="18.75" customHeight="1" x14ac:dyDescent="0.25"/>
    <row r="682" ht="18.75" customHeight="1" x14ac:dyDescent="0.25"/>
    <row r="683" ht="18.75" customHeight="1" x14ac:dyDescent="0.25"/>
    <row r="684" ht="18.75" customHeight="1" x14ac:dyDescent="0.25"/>
    <row r="685" ht="18.75" customHeight="1" x14ac:dyDescent="0.25"/>
    <row r="686" ht="18.75" customHeight="1" x14ac:dyDescent="0.25"/>
    <row r="687" ht="18.75" customHeight="1" x14ac:dyDescent="0.25"/>
    <row r="688" ht="18.75" customHeight="1" x14ac:dyDescent="0.25"/>
    <row r="689" ht="18.75" customHeight="1" x14ac:dyDescent="0.25"/>
    <row r="690" ht="18.75" customHeight="1" x14ac:dyDescent="0.25"/>
    <row r="691" ht="18.75" customHeight="1" x14ac:dyDescent="0.25"/>
    <row r="692" ht="18.75" customHeight="1" x14ac:dyDescent="0.25"/>
    <row r="693" ht="18.75" customHeight="1" x14ac:dyDescent="0.25"/>
    <row r="694" ht="18.75" customHeight="1" x14ac:dyDescent="0.25"/>
    <row r="695" ht="18.75" customHeight="1" x14ac:dyDescent="0.25"/>
    <row r="696" ht="18.75" customHeight="1" x14ac:dyDescent="0.25"/>
    <row r="697" ht="18.75" customHeight="1" x14ac:dyDescent="0.25"/>
    <row r="698" ht="18.75" customHeight="1" x14ac:dyDescent="0.25"/>
    <row r="699" ht="18.75" customHeight="1" x14ac:dyDescent="0.25"/>
    <row r="700" ht="18.75" customHeight="1" x14ac:dyDescent="0.25"/>
    <row r="701" ht="18.75" customHeight="1" x14ac:dyDescent="0.25"/>
    <row r="702" ht="18.75" customHeight="1" x14ac:dyDescent="0.25"/>
    <row r="703" ht="18.75" customHeight="1" x14ac:dyDescent="0.25"/>
    <row r="704" ht="18.75" customHeight="1" x14ac:dyDescent="0.25"/>
    <row r="705" ht="18.75" customHeight="1" x14ac:dyDescent="0.25"/>
    <row r="706" ht="18.75" customHeight="1" x14ac:dyDescent="0.25"/>
    <row r="707" ht="18.75" customHeight="1" x14ac:dyDescent="0.25"/>
    <row r="708" ht="18.75" customHeight="1" x14ac:dyDescent="0.25"/>
    <row r="709" ht="18.75" customHeight="1" x14ac:dyDescent="0.25"/>
    <row r="710" ht="18.75" customHeight="1" x14ac:dyDescent="0.25"/>
    <row r="711" ht="18.75" customHeight="1" x14ac:dyDescent="0.25"/>
    <row r="712" ht="18.75" customHeight="1" x14ac:dyDescent="0.25"/>
    <row r="713" ht="18.75" customHeight="1" x14ac:dyDescent="0.25"/>
    <row r="714" ht="18.75" customHeight="1" x14ac:dyDescent="0.25"/>
    <row r="715" ht="18.75" customHeight="1" x14ac:dyDescent="0.25"/>
    <row r="716" ht="18.75" customHeight="1" x14ac:dyDescent="0.25"/>
    <row r="717" ht="18.75" customHeight="1" x14ac:dyDescent="0.25"/>
    <row r="718" ht="18.75" customHeight="1" x14ac:dyDescent="0.25"/>
    <row r="719" ht="18.75" customHeight="1" x14ac:dyDescent="0.25"/>
    <row r="720" ht="18.75" customHeight="1" x14ac:dyDescent="0.25"/>
    <row r="721" ht="18.75" customHeight="1" x14ac:dyDescent="0.25"/>
    <row r="722" ht="18.75" customHeight="1" x14ac:dyDescent="0.25"/>
    <row r="723" ht="18.75" customHeight="1" x14ac:dyDescent="0.25"/>
    <row r="724" ht="18.75" customHeight="1" x14ac:dyDescent="0.25"/>
    <row r="725" ht="18.75" customHeight="1" x14ac:dyDescent="0.25"/>
    <row r="726" ht="18.75" customHeight="1" x14ac:dyDescent="0.25"/>
    <row r="727" ht="18.75" customHeight="1" x14ac:dyDescent="0.25"/>
    <row r="728" ht="18.75" customHeight="1" x14ac:dyDescent="0.25"/>
    <row r="729" ht="18.75" customHeight="1" x14ac:dyDescent="0.25"/>
    <row r="730" ht="18.75" customHeight="1" x14ac:dyDescent="0.25"/>
    <row r="731" ht="18.75" customHeight="1" x14ac:dyDescent="0.25"/>
    <row r="732" ht="18.75" customHeight="1" x14ac:dyDescent="0.25"/>
    <row r="733" ht="18.75" customHeight="1" x14ac:dyDescent="0.25"/>
    <row r="734" ht="18.75" customHeight="1" x14ac:dyDescent="0.25"/>
    <row r="735" ht="18.75" customHeight="1" x14ac:dyDescent="0.25"/>
    <row r="736" ht="18.75" customHeight="1" x14ac:dyDescent="0.25"/>
    <row r="737" ht="18.75" customHeight="1" x14ac:dyDescent="0.25"/>
    <row r="738" ht="18.75" customHeight="1" x14ac:dyDescent="0.25"/>
    <row r="739" ht="18.75" customHeight="1" x14ac:dyDescent="0.25"/>
    <row r="740" ht="18.75" customHeight="1" x14ac:dyDescent="0.25"/>
    <row r="741" ht="18.75" customHeight="1" x14ac:dyDescent="0.25"/>
    <row r="742" ht="18.75" customHeight="1" x14ac:dyDescent="0.25"/>
    <row r="743" ht="18.75" customHeight="1" x14ac:dyDescent="0.25"/>
    <row r="744" ht="18.75" customHeight="1" x14ac:dyDescent="0.25"/>
    <row r="745" ht="18.75" customHeight="1" x14ac:dyDescent="0.25"/>
    <row r="746" ht="18.75" customHeight="1" x14ac:dyDescent="0.25"/>
    <row r="747" ht="18.75" customHeight="1" x14ac:dyDescent="0.25"/>
    <row r="748" ht="18.75" customHeight="1" x14ac:dyDescent="0.25"/>
    <row r="749" ht="18.75" customHeight="1" x14ac:dyDescent="0.25"/>
    <row r="750" ht="18.75" customHeight="1" x14ac:dyDescent="0.25"/>
    <row r="751" ht="18.75" customHeight="1" x14ac:dyDescent="0.25"/>
    <row r="752" ht="18.75" customHeight="1" x14ac:dyDescent="0.25"/>
    <row r="753" ht="18.75" customHeight="1" x14ac:dyDescent="0.25"/>
    <row r="754" ht="18.75" customHeight="1" x14ac:dyDescent="0.25"/>
    <row r="755" ht="18.75" customHeight="1" x14ac:dyDescent="0.25"/>
    <row r="756" ht="18.75" customHeight="1" x14ac:dyDescent="0.25"/>
    <row r="757" ht="18.75" customHeight="1" x14ac:dyDescent="0.25"/>
    <row r="758" ht="18.75" customHeight="1" x14ac:dyDescent="0.25"/>
    <row r="759" ht="18.75" customHeight="1" x14ac:dyDescent="0.25"/>
    <row r="760" ht="18.75" customHeight="1" x14ac:dyDescent="0.25"/>
    <row r="761" ht="18.75" customHeight="1" x14ac:dyDescent="0.25"/>
    <row r="762" ht="18.75" customHeight="1" x14ac:dyDescent="0.25"/>
    <row r="763" ht="18.75" customHeight="1" x14ac:dyDescent="0.25"/>
    <row r="764" ht="18.75" customHeight="1" x14ac:dyDescent="0.25"/>
    <row r="765" ht="18.75" customHeight="1" x14ac:dyDescent="0.25"/>
    <row r="766" ht="18.75" customHeight="1" x14ac:dyDescent="0.25"/>
    <row r="767" ht="18.75" customHeight="1" x14ac:dyDescent="0.25"/>
    <row r="768" ht="18.75" customHeight="1" x14ac:dyDescent="0.25"/>
    <row r="769" ht="18.75" customHeight="1" x14ac:dyDescent="0.25"/>
    <row r="770" ht="18.75" customHeight="1" x14ac:dyDescent="0.25"/>
    <row r="771" ht="18.75" customHeight="1" x14ac:dyDescent="0.25"/>
    <row r="772" ht="18.75" customHeight="1" x14ac:dyDescent="0.25"/>
    <row r="773" ht="18.75" customHeight="1" x14ac:dyDescent="0.25"/>
    <row r="774" ht="18.75" customHeight="1" x14ac:dyDescent="0.25"/>
    <row r="775" ht="18.75" customHeight="1" x14ac:dyDescent="0.25"/>
    <row r="776" ht="18.75" customHeight="1" x14ac:dyDescent="0.25"/>
    <row r="777" ht="18.75" customHeight="1" x14ac:dyDescent="0.25"/>
    <row r="778" ht="18.75" customHeight="1" x14ac:dyDescent="0.25"/>
    <row r="779" ht="18.75" customHeight="1" x14ac:dyDescent="0.25"/>
    <row r="780" ht="18.75" customHeight="1" x14ac:dyDescent="0.25"/>
    <row r="781" ht="18.75" customHeight="1" x14ac:dyDescent="0.25"/>
    <row r="782" ht="18.75" customHeight="1" x14ac:dyDescent="0.25"/>
    <row r="783" ht="18.75" customHeight="1" x14ac:dyDescent="0.25"/>
    <row r="784" ht="18.75" customHeight="1" x14ac:dyDescent="0.25"/>
    <row r="785" ht="18.75" customHeight="1" x14ac:dyDescent="0.25"/>
    <row r="786" ht="18.75" customHeight="1" x14ac:dyDescent="0.25"/>
    <row r="787" ht="18.75" customHeight="1" x14ac:dyDescent="0.25"/>
    <row r="788" ht="18.75" customHeight="1" x14ac:dyDescent="0.25"/>
    <row r="789" ht="18.75" customHeight="1" x14ac:dyDescent="0.25"/>
    <row r="790" ht="18.75" customHeight="1" x14ac:dyDescent="0.25"/>
    <row r="791" ht="18.75" customHeight="1" x14ac:dyDescent="0.25"/>
    <row r="792" ht="18.75" customHeight="1" x14ac:dyDescent="0.25"/>
    <row r="793" ht="18.75" customHeight="1" x14ac:dyDescent="0.25"/>
    <row r="794" ht="18.75" customHeight="1" x14ac:dyDescent="0.25"/>
    <row r="795" ht="18.75" customHeight="1" x14ac:dyDescent="0.25"/>
    <row r="796" ht="18.75" customHeight="1" x14ac:dyDescent="0.25"/>
    <row r="797" ht="18.75" customHeight="1" x14ac:dyDescent="0.25"/>
    <row r="798" ht="18.75" customHeight="1" x14ac:dyDescent="0.25"/>
    <row r="799" ht="18.75" customHeight="1" x14ac:dyDescent="0.25"/>
    <row r="800" ht="18.75" customHeight="1" x14ac:dyDescent="0.25"/>
    <row r="801" ht="18.75" customHeight="1" x14ac:dyDescent="0.25"/>
    <row r="802" ht="18.75" customHeight="1" x14ac:dyDescent="0.25"/>
    <row r="803" ht="18.75" customHeight="1" x14ac:dyDescent="0.25"/>
    <row r="804" ht="18.75" customHeight="1" x14ac:dyDescent="0.25"/>
    <row r="805" ht="18.75" customHeight="1" x14ac:dyDescent="0.25"/>
    <row r="806" ht="18.75" customHeight="1" x14ac:dyDescent="0.25"/>
    <row r="807" ht="18.75" customHeight="1" x14ac:dyDescent="0.25"/>
    <row r="808" ht="18.75" customHeight="1" x14ac:dyDescent="0.25"/>
    <row r="809" ht="18.75" customHeight="1" x14ac:dyDescent="0.25"/>
    <row r="810" ht="18.75" customHeight="1" x14ac:dyDescent="0.25"/>
    <row r="811" ht="18.75" customHeight="1" x14ac:dyDescent="0.25"/>
    <row r="812" ht="18.75" customHeight="1" x14ac:dyDescent="0.25"/>
    <row r="813" ht="18.75" customHeight="1" x14ac:dyDescent="0.25"/>
    <row r="814" ht="18.75" customHeight="1" x14ac:dyDescent="0.25"/>
    <row r="815" ht="18.75" customHeight="1" x14ac:dyDescent="0.25"/>
    <row r="816" ht="18.75" customHeight="1" x14ac:dyDescent="0.25"/>
    <row r="817" ht="18.75" customHeight="1" x14ac:dyDescent="0.25"/>
    <row r="818" ht="18.75" customHeight="1" x14ac:dyDescent="0.25"/>
    <row r="819" ht="18.75" customHeight="1" x14ac:dyDescent="0.25"/>
    <row r="820" ht="18.75" customHeight="1" x14ac:dyDescent="0.25"/>
    <row r="821" ht="18.75" customHeight="1" x14ac:dyDescent="0.25"/>
    <row r="822" ht="18.75" customHeight="1" x14ac:dyDescent="0.25"/>
    <row r="823" ht="18.75" customHeight="1" x14ac:dyDescent="0.25"/>
    <row r="824" ht="18.75" customHeight="1" x14ac:dyDescent="0.25"/>
    <row r="825" ht="18.75" customHeight="1" x14ac:dyDescent="0.25"/>
    <row r="826" ht="18.75" customHeight="1" x14ac:dyDescent="0.25"/>
    <row r="827" ht="18.75" customHeight="1" x14ac:dyDescent="0.25"/>
    <row r="828" ht="18.75" customHeight="1" x14ac:dyDescent="0.25"/>
    <row r="829" ht="18.75" customHeight="1" x14ac:dyDescent="0.25"/>
    <row r="830" ht="18.75" customHeight="1" x14ac:dyDescent="0.25"/>
    <row r="831" ht="18.75" customHeight="1" x14ac:dyDescent="0.25"/>
    <row r="832" ht="18.75" customHeight="1" x14ac:dyDescent="0.25"/>
    <row r="833" ht="18.75" customHeight="1" x14ac:dyDescent="0.25"/>
    <row r="834" ht="18.75" customHeight="1" x14ac:dyDescent="0.25"/>
    <row r="835" ht="18.75" customHeight="1" x14ac:dyDescent="0.25"/>
    <row r="836" ht="18.75" customHeight="1" x14ac:dyDescent="0.25"/>
    <row r="837" ht="18.75" customHeight="1" x14ac:dyDescent="0.25"/>
    <row r="838" ht="18.75" customHeight="1" x14ac:dyDescent="0.25"/>
    <row r="839" ht="18.75" customHeight="1" x14ac:dyDescent="0.25"/>
    <row r="840" ht="18.75" customHeight="1" x14ac:dyDescent="0.25"/>
    <row r="841" ht="18.75" customHeight="1" x14ac:dyDescent="0.25"/>
    <row r="842" ht="18.75" customHeight="1" x14ac:dyDescent="0.25"/>
    <row r="843" ht="18.75" customHeight="1" x14ac:dyDescent="0.25"/>
    <row r="844" ht="18.75" customHeight="1" x14ac:dyDescent="0.25"/>
    <row r="845" ht="18.75" customHeight="1" x14ac:dyDescent="0.25"/>
    <row r="846" ht="18.75" customHeight="1" x14ac:dyDescent="0.25"/>
    <row r="847" ht="18.75" customHeight="1" x14ac:dyDescent="0.25"/>
    <row r="848" ht="18.75" customHeight="1" x14ac:dyDescent="0.25"/>
    <row r="849" ht="18.75" customHeight="1" x14ac:dyDescent="0.25"/>
    <row r="850" ht="18.75" customHeight="1" x14ac:dyDescent="0.25"/>
    <row r="851" ht="18.75" customHeight="1" x14ac:dyDescent="0.25"/>
    <row r="852" ht="18.75" customHeight="1" x14ac:dyDescent="0.25"/>
    <row r="853" ht="18.75" customHeight="1" x14ac:dyDescent="0.25"/>
    <row r="854" ht="18.75" customHeight="1" x14ac:dyDescent="0.25"/>
    <row r="855" ht="18.75" customHeight="1" x14ac:dyDescent="0.25"/>
    <row r="856" ht="18.75" customHeight="1" x14ac:dyDescent="0.25"/>
    <row r="857" ht="18.75" customHeight="1" x14ac:dyDescent="0.25"/>
    <row r="858" ht="18.75" customHeight="1" x14ac:dyDescent="0.25"/>
    <row r="859" ht="18.75" customHeight="1" x14ac:dyDescent="0.25"/>
    <row r="860" ht="18.75" customHeight="1" x14ac:dyDescent="0.25"/>
    <row r="861" ht="18.75" customHeight="1" x14ac:dyDescent="0.25"/>
    <row r="862" ht="18.75" customHeight="1" x14ac:dyDescent="0.25"/>
    <row r="863" ht="18.75" customHeight="1" x14ac:dyDescent="0.25"/>
    <row r="864" ht="18.75" customHeight="1" x14ac:dyDescent="0.25"/>
    <row r="865" ht="18.75" customHeight="1" x14ac:dyDescent="0.25"/>
    <row r="866" ht="18.75" customHeight="1" x14ac:dyDescent="0.25"/>
    <row r="867" ht="18.75" customHeight="1" x14ac:dyDescent="0.25"/>
    <row r="868" ht="18.75" customHeight="1" x14ac:dyDescent="0.25"/>
    <row r="869" ht="18.75" customHeight="1" x14ac:dyDescent="0.25"/>
    <row r="870" ht="18.75" customHeight="1" x14ac:dyDescent="0.25"/>
    <row r="871" ht="18.75" customHeight="1" x14ac:dyDescent="0.25"/>
    <row r="872" ht="18.75" customHeight="1" x14ac:dyDescent="0.25"/>
    <row r="873" ht="18.75" customHeight="1" x14ac:dyDescent="0.25"/>
    <row r="874" ht="18.75" customHeight="1" x14ac:dyDescent="0.25"/>
    <row r="875" ht="18.75" customHeight="1" x14ac:dyDescent="0.25"/>
    <row r="876" ht="18.75" customHeight="1" x14ac:dyDescent="0.25"/>
    <row r="877" ht="18.75" customHeight="1" x14ac:dyDescent="0.25"/>
    <row r="878" ht="18.75" customHeight="1" x14ac:dyDescent="0.25"/>
    <row r="879" ht="18.75" customHeight="1" x14ac:dyDescent="0.25"/>
    <row r="880" ht="18.75" customHeight="1" x14ac:dyDescent="0.25"/>
    <row r="881" ht="18.75" customHeight="1" x14ac:dyDescent="0.25"/>
    <row r="882" ht="18.75" customHeight="1" x14ac:dyDescent="0.25"/>
    <row r="883" ht="18.75" customHeight="1" x14ac:dyDescent="0.25"/>
    <row r="884" ht="18.75" customHeight="1" x14ac:dyDescent="0.25"/>
    <row r="885" ht="18.75" customHeight="1" x14ac:dyDescent="0.25"/>
    <row r="886" ht="18.75" customHeight="1" x14ac:dyDescent="0.25"/>
    <row r="887" ht="18.75" customHeight="1" x14ac:dyDescent="0.25"/>
    <row r="888" ht="18.75" customHeight="1" x14ac:dyDescent="0.25"/>
    <row r="889" ht="18.75" customHeight="1" x14ac:dyDescent="0.25"/>
    <row r="890" ht="18.75" customHeight="1" x14ac:dyDescent="0.25"/>
    <row r="891" ht="18.75" customHeight="1" x14ac:dyDescent="0.25"/>
    <row r="892" ht="18.75" customHeight="1" x14ac:dyDescent="0.25"/>
    <row r="893" ht="18.75" customHeight="1" x14ac:dyDescent="0.25"/>
    <row r="894" ht="18.75" customHeight="1" x14ac:dyDescent="0.25"/>
    <row r="895" ht="18.75" customHeight="1" x14ac:dyDescent="0.25"/>
    <row r="896" ht="18.75" customHeight="1" x14ac:dyDescent="0.25"/>
    <row r="897" ht="18.75" customHeight="1" x14ac:dyDescent="0.25"/>
    <row r="898" ht="18.75" customHeight="1" x14ac:dyDescent="0.25"/>
    <row r="899" ht="18.75" customHeight="1" x14ac:dyDescent="0.25"/>
    <row r="900" ht="18.75" customHeight="1" x14ac:dyDescent="0.25"/>
    <row r="901" ht="18.75" customHeight="1" x14ac:dyDescent="0.25"/>
    <row r="902" ht="18.75" customHeight="1" x14ac:dyDescent="0.25"/>
    <row r="903" ht="18.75" customHeight="1" x14ac:dyDescent="0.25"/>
    <row r="904" ht="18.75" customHeight="1" x14ac:dyDescent="0.25"/>
    <row r="905" ht="18.75" customHeight="1" x14ac:dyDescent="0.25"/>
    <row r="906" ht="18.75" customHeight="1" x14ac:dyDescent="0.25"/>
    <row r="907" ht="18.75" customHeight="1" x14ac:dyDescent="0.25"/>
    <row r="908" ht="18.75" customHeight="1" x14ac:dyDescent="0.25"/>
    <row r="909" ht="18.75" customHeight="1" x14ac:dyDescent="0.25"/>
    <row r="910" ht="18.75" customHeight="1" x14ac:dyDescent="0.25"/>
    <row r="911" ht="18.75" customHeight="1" x14ac:dyDescent="0.25"/>
    <row r="912" ht="18.75" customHeight="1" x14ac:dyDescent="0.25"/>
    <row r="913" ht="18.75" customHeight="1" x14ac:dyDescent="0.25"/>
    <row r="914" ht="18.75" customHeight="1" x14ac:dyDescent="0.25"/>
    <row r="915" ht="18.75" customHeight="1" x14ac:dyDescent="0.25"/>
    <row r="916" ht="18.75" customHeight="1" x14ac:dyDescent="0.25"/>
    <row r="917" ht="18.75" customHeight="1" x14ac:dyDescent="0.25"/>
    <row r="918" ht="18.75" customHeight="1" x14ac:dyDescent="0.25"/>
    <row r="919" ht="18.75" customHeight="1" x14ac:dyDescent="0.25"/>
    <row r="920" ht="18.75" customHeight="1" x14ac:dyDescent="0.25"/>
    <row r="921" ht="18.75" customHeight="1" x14ac:dyDescent="0.25"/>
    <row r="922" ht="18.75" customHeight="1" x14ac:dyDescent="0.25"/>
    <row r="923" ht="18.75" customHeight="1" x14ac:dyDescent="0.25"/>
    <row r="924" ht="18.75" customHeight="1" x14ac:dyDescent="0.25"/>
    <row r="925" ht="18.75" customHeight="1" x14ac:dyDescent="0.25"/>
    <row r="926" ht="18.75" customHeight="1" x14ac:dyDescent="0.25"/>
    <row r="927" ht="18.75" customHeight="1" x14ac:dyDescent="0.25"/>
    <row r="928" ht="18.75" customHeight="1" x14ac:dyDescent="0.25"/>
    <row r="929" ht="18.75" customHeight="1" x14ac:dyDescent="0.25"/>
    <row r="930" ht="18.75" customHeight="1" x14ac:dyDescent="0.25"/>
    <row r="931" ht="18.75" customHeight="1" x14ac:dyDescent="0.25"/>
    <row r="932" ht="18.75" customHeight="1" x14ac:dyDescent="0.25"/>
    <row r="933" ht="18.75" customHeight="1" x14ac:dyDescent="0.25"/>
    <row r="934" ht="18.75" customHeight="1" x14ac:dyDescent="0.25"/>
    <row r="935" ht="18.75" customHeight="1" x14ac:dyDescent="0.25"/>
    <row r="936" ht="18.75" customHeight="1" x14ac:dyDescent="0.25"/>
    <row r="937" ht="18.75" customHeight="1" x14ac:dyDescent="0.25"/>
    <row r="938" ht="18.75" customHeight="1" x14ac:dyDescent="0.25"/>
    <row r="939" ht="18.75" customHeight="1" x14ac:dyDescent="0.25"/>
    <row r="940" ht="18.75" customHeight="1" x14ac:dyDescent="0.25"/>
    <row r="941" ht="18.75" customHeight="1" x14ac:dyDescent="0.25"/>
    <row r="942" ht="18.75" customHeight="1" x14ac:dyDescent="0.25"/>
    <row r="943" ht="18.75" customHeight="1" x14ac:dyDescent="0.25"/>
    <row r="944" ht="18.75" customHeight="1" x14ac:dyDescent="0.25"/>
    <row r="945" ht="18.75" customHeight="1" x14ac:dyDescent="0.25"/>
    <row r="946" ht="18.75" customHeight="1" x14ac:dyDescent="0.25"/>
    <row r="947" ht="18.75" customHeight="1" x14ac:dyDescent="0.25"/>
    <row r="948" ht="18.75" customHeight="1" x14ac:dyDescent="0.25"/>
    <row r="949" ht="18.75" customHeight="1" x14ac:dyDescent="0.25"/>
    <row r="950" ht="18.75" customHeight="1" x14ac:dyDescent="0.25"/>
    <row r="951" ht="18.75" customHeight="1" x14ac:dyDescent="0.25"/>
    <row r="952" ht="18.75" customHeight="1" x14ac:dyDescent="0.25"/>
    <row r="953" ht="18.75" customHeight="1" x14ac:dyDescent="0.25"/>
    <row r="954" ht="18.75" customHeight="1" x14ac:dyDescent="0.25"/>
    <row r="955" ht="18.75" customHeight="1" x14ac:dyDescent="0.25"/>
    <row r="956" ht="18.75" customHeight="1" x14ac:dyDescent="0.25"/>
    <row r="957" ht="18.75" customHeight="1" x14ac:dyDescent="0.25"/>
    <row r="958" ht="18.75" customHeight="1" x14ac:dyDescent="0.25"/>
    <row r="959" ht="18.75" customHeight="1" x14ac:dyDescent="0.25"/>
    <row r="960" ht="18.75" customHeight="1" x14ac:dyDescent="0.25"/>
    <row r="961" ht="18.75" customHeight="1" x14ac:dyDescent="0.25"/>
    <row r="962" ht="18.75" customHeight="1" x14ac:dyDescent="0.25"/>
    <row r="963" ht="18.75" customHeight="1" x14ac:dyDescent="0.25"/>
    <row r="964" ht="18.75" customHeight="1" x14ac:dyDescent="0.25"/>
    <row r="965" ht="18.75" customHeight="1" x14ac:dyDescent="0.25"/>
    <row r="966" ht="18.75" customHeight="1" x14ac:dyDescent="0.25"/>
    <row r="967" ht="18.75" customHeight="1" x14ac:dyDescent="0.25"/>
    <row r="968" ht="18.75" customHeight="1" x14ac:dyDescent="0.25"/>
    <row r="969" ht="18.75" customHeight="1" x14ac:dyDescent="0.25"/>
    <row r="970" ht="18.75" customHeight="1" x14ac:dyDescent="0.25"/>
    <row r="971" ht="18.75" customHeight="1" x14ac:dyDescent="0.25"/>
    <row r="972" ht="18.75" customHeight="1" x14ac:dyDescent="0.25"/>
    <row r="973" ht="18.75" customHeight="1" x14ac:dyDescent="0.25"/>
    <row r="974" ht="18.75" customHeight="1" x14ac:dyDescent="0.25"/>
    <row r="975" ht="18.75" customHeight="1" x14ac:dyDescent="0.25"/>
    <row r="976" ht="18.75" customHeight="1" x14ac:dyDescent="0.25"/>
    <row r="977" ht="18.75" customHeight="1" x14ac:dyDescent="0.25"/>
    <row r="978" ht="18.75" customHeight="1" x14ac:dyDescent="0.25"/>
    <row r="979" ht="18.75" customHeight="1" x14ac:dyDescent="0.25"/>
    <row r="980" ht="18.75" customHeight="1" x14ac:dyDescent="0.25"/>
    <row r="981" ht="18.75" customHeight="1" x14ac:dyDescent="0.25"/>
    <row r="982" ht="18.75" customHeight="1" x14ac:dyDescent="0.25"/>
    <row r="983" ht="18.75" customHeight="1" x14ac:dyDescent="0.25"/>
    <row r="984" ht="18.75" customHeight="1" x14ac:dyDescent="0.25"/>
    <row r="985" ht="18.75" customHeight="1" x14ac:dyDescent="0.25"/>
    <row r="986" ht="18.75" customHeight="1" x14ac:dyDescent="0.25"/>
    <row r="987" ht="18.75" customHeight="1" x14ac:dyDescent="0.25"/>
    <row r="988" ht="18.75" customHeight="1" x14ac:dyDescent="0.25"/>
    <row r="989" ht="18.75" customHeight="1" x14ac:dyDescent="0.25"/>
    <row r="990" ht="18.75" customHeight="1" x14ac:dyDescent="0.25"/>
    <row r="991" ht="18.75" customHeight="1" x14ac:dyDescent="0.25"/>
    <row r="992" ht="18.75" customHeight="1" x14ac:dyDescent="0.25"/>
    <row r="993" ht="18.75" customHeight="1" x14ac:dyDescent="0.25"/>
    <row r="994" ht="18.75" customHeight="1" x14ac:dyDescent="0.25"/>
    <row r="995" ht="18.75" customHeight="1" x14ac:dyDescent="0.25"/>
    <row r="996" ht="18.75" customHeight="1" x14ac:dyDescent="0.25"/>
    <row r="997" ht="18.75" customHeight="1" x14ac:dyDescent="0.25"/>
    <row r="998" ht="18.75" customHeight="1" x14ac:dyDescent="0.25"/>
    <row r="999" ht="18.75" customHeight="1" x14ac:dyDescent="0.25"/>
    <row r="1000" ht="18.75" customHeight="1" x14ac:dyDescent="0.25"/>
  </sheetData>
  <phoneticPr fontId="12"/>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export_multi_language_24-0807_1</vt:lpstr>
      <vt:lpstr>説明</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Tester</dc:creator>
  <cp:lastModifiedBy>hayato</cp:lastModifiedBy>
  <dcterms:created xsi:type="dcterms:W3CDTF">2024-03-04T06:53:13Z</dcterms:created>
  <dcterms:modified xsi:type="dcterms:W3CDTF">2024-08-14T12:37:39Z</dcterms:modified>
</cp:coreProperties>
</file>