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\PC (2)\Desktop\"/>
    </mc:Choice>
  </mc:AlternateContent>
  <xr:revisionPtr revIDLastSave="0" documentId="13_ncr:1_{9B8CEBD9-0808-45D2-B337-BC5E90A8F7E5}" xr6:coauthVersionLast="47" xr6:coauthVersionMax="47" xr10:uidLastSave="{00000000-0000-0000-0000-000000000000}"/>
  <bookViews>
    <workbookView xWindow="2595" yWindow="2595" windowWidth="15375" windowHeight="7875" activeTab="4" xr2:uid="{00000000-000D-0000-FFFF-FFFF00000000}"/>
  </bookViews>
  <sheets>
    <sheet name="スケジュール" sheetId="1" r:id="rId1"/>
    <sheet name="請求書" sheetId="2" r:id="rId2"/>
    <sheet name="請求書福岡" sheetId="7" state="hidden" r:id="rId3"/>
    <sheet name="請求書福岡 (2)" sheetId="11" state="hidden" r:id="rId4"/>
    <sheet name="施術内訳書" sheetId="4" r:id="rId5"/>
    <sheet name="施術内訳書  (2)" sheetId="5" r:id="rId6"/>
    <sheet name="領収書後期 (正田" sheetId="9" state="hidden" r:id="rId7"/>
    <sheet name="領収書後期 (正田 (2)" sheetId="10" state="hidden" r:id="rId8"/>
    <sheet name="データ" sheetId="6" r:id="rId9"/>
  </sheets>
  <definedNames>
    <definedName name="_xlnm._FilterDatabase" localSheetId="4" hidden="1">施術内訳書!$A$11:$H$43</definedName>
    <definedName name="_xlnm._FilterDatabase" localSheetId="5" hidden="1">'施術内訳書  (2)'!$A$11:$H$43</definedName>
    <definedName name="_xlnm.Print_Area" localSheetId="4">施術内訳書!$A$1:$O$44</definedName>
    <definedName name="_xlnm.Print_Area" localSheetId="5">'施術内訳書  (2)'!$A$1:$I$44</definedName>
    <definedName name="_xlnm.Print_Area" localSheetId="2">請求書福岡!$A$1:$I$43</definedName>
    <definedName name="_xlnm.Print_Area" localSheetId="3">'請求書福岡 (2)'!$A$1:$I$43</definedName>
    <definedName name="_xlnm.Print_Area" localSheetId="6">'領収書後期 (正田'!$A$1:$R$55</definedName>
    <definedName name="_xlnm.Print_Area" localSheetId="7">'領収書後期 (正田 (2)'!$A$1:$R$55</definedName>
    <definedName name="データ記入" localSheetId="6">#REF!</definedName>
    <definedName name="データ記入" localSheetId="7">#REF!</definedName>
    <definedName name="データ記入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6" i="7" l="1"/>
  <c r="B26" i="7"/>
  <c r="D26" i="7"/>
  <c r="E26" i="7"/>
  <c r="F26" i="7"/>
  <c r="D23" i="7"/>
  <c r="D23" i="11"/>
  <c r="D24" i="11"/>
  <c r="D25" i="11"/>
  <c r="D26" i="11"/>
  <c r="O25" i="11"/>
  <c r="O26" i="11"/>
  <c r="O27" i="11"/>
  <c r="O28" i="11"/>
  <c r="N25" i="11"/>
  <c r="N26" i="11"/>
  <c r="N27" i="11"/>
  <c r="N28" i="11"/>
  <c r="M25" i="11"/>
  <c r="M26" i="11"/>
  <c r="M27" i="11"/>
  <c r="M28" i="11"/>
  <c r="I29" i="11"/>
  <c r="H29" i="11"/>
  <c r="I28" i="11"/>
  <c r="H28" i="11"/>
  <c r="I27" i="11"/>
  <c r="H27" i="11"/>
  <c r="S26" i="11"/>
  <c r="I26" i="11"/>
  <c r="H26" i="11"/>
  <c r="F26" i="11"/>
  <c r="E26" i="11"/>
  <c r="B26" i="11"/>
  <c r="S25" i="11"/>
  <c r="I25" i="11"/>
  <c r="H25" i="11"/>
  <c r="F25" i="11"/>
  <c r="E25" i="11"/>
  <c r="B25" i="11"/>
  <c r="S24" i="11"/>
  <c r="I24" i="11"/>
  <c r="H24" i="11"/>
  <c r="F24" i="11"/>
  <c r="E24" i="11"/>
  <c r="B24" i="11"/>
  <c r="S23" i="11"/>
  <c r="I23" i="11"/>
  <c r="H23" i="11"/>
  <c r="F23" i="11"/>
  <c r="E23" i="11"/>
  <c r="B23" i="11"/>
  <c r="R22" i="11"/>
  <c r="P22" i="11"/>
  <c r="P21" i="11"/>
  <c r="P20" i="11"/>
  <c r="P19" i="11"/>
  <c r="P18" i="11"/>
  <c r="T32" i="1"/>
  <c r="J25" i="10"/>
  <c r="E19" i="10"/>
  <c r="J19" i="10" s="1"/>
  <c r="E20" i="10"/>
  <c r="J20" i="10" s="1"/>
  <c r="E21" i="10"/>
  <c r="J21" i="10" s="1"/>
  <c r="E22" i="10"/>
  <c r="J22" i="10" s="1"/>
  <c r="E23" i="10"/>
  <c r="J23" i="10" s="1"/>
  <c r="E24" i="10"/>
  <c r="J24" i="10" s="1"/>
  <c r="E25" i="10"/>
  <c r="D24" i="10"/>
  <c r="D23" i="10"/>
  <c r="D22" i="10"/>
  <c r="D21" i="10"/>
  <c r="D20" i="10"/>
  <c r="D19" i="10"/>
  <c r="A25" i="10"/>
  <c r="A24" i="10"/>
  <c r="A23" i="10"/>
  <c r="A22" i="10"/>
  <c r="A21" i="10"/>
  <c r="A20" i="10"/>
  <c r="A19" i="10"/>
  <c r="C19" i="10"/>
  <c r="C20" i="10"/>
  <c r="C21" i="10"/>
  <c r="C22" i="10"/>
  <c r="C23" i="10"/>
  <c r="C24" i="10"/>
  <c r="Q8" i="5"/>
  <c r="Y19" i="10" s="1"/>
  <c r="Q9" i="5"/>
  <c r="Y20" i="10" s="1"/>
  <c r="Q10" i="5"/>
  <c r="Y21" i="10" s="1"/>
  <c r="Q11" i="5"/>
  <c r="Y22" i="10" s="1"/>
  <c r="Q12" i="5"/>
  <c r="Y23" i="10" s="1"/>
  <c r="Q13" i="5"/>
  <c r="Y24" i="10" s="1"/>
  <c r="Q14" i="5"/>
  <c r="P4" i="5" a="1"/>
  <c r="P15" i="5"/>
  <c r="P14" i="5"/>
  <c r="P13" i="5"/>
  <c r="P12" i="5"/>
  <c r="P11" i="5"/>
  <c r="D25" i="10"/>
  <c r="C25" i="10"/>
  <c r="P4" i="5" l="1"/>
  <c r="C16" i="10"/>
  <c r="Q6" i="5"/>
  <c r="Y17" i="10" s="1"/>
  <c r="C18" i="10"/>
  <c r="Q5" i="5"/>
  <c r="Y16" i="10" s="1"/>
  <c r="C17" i="10"/>
  <c r="Q7" i="5"/>
  <c r="Y18" i="10" s="1"/>
  <c r="Y10" i="10"/>
  <c r="U10" i="10"/>
  <c r="J6" i="9"/>
  <c r="W10" i="9"/>
  <c r="W10" i="10" s="1"/>
  <c r="A13" i="2"/>
  <c r="P1" i="9"/>
  <c r="P1" i="10" s="1"/>
  <c r="A39" i="9" l="1"/>
  <c r="A39" i="10" s="1"/>
  <c r="A17" i="10"/>
  <c r="D17" i="10"/>
  <c r="E17" i="10"/>
  <c r="J17" i="10" s="1"/>
  <c r="E16" i="10"/>
  <c r="J16" i="10" s="1"/>
  <c r="A16" i="10"/>
  <c r="D16" i="10"/>
  <c r="Q4" i="5"/>
  <c r="Y15" i="10" s="1"/>
  <c r="C15" i="10"/>
  <c r="D18" i="10"/>
  <c r="E18" i="10"/>
  <c r="J18" i="10" s="1"/>
  <c r="A18" i="10"/>
  <c r="D20" i="9"/>
  <c r="D21" i="9"/>
  <c r="D22" i="9"/>
  <c r="D23" i="9"/>
  <c r="D24" i="9"/>
  <c r="D25" i="9"/>
  <c r="A21" i="9"/>
  <c r="A22" i="9"/>
  <c r="A23" i="9"/>
  <c r="A24" i="9"/>
  <c r="A25" i="9"/>
  <c r="A20" i="9"/>
  <c r="E15" i="10" l="1"/>
  <c r="J15" i="10" s="1"/>
  <c r="I29" i="10" s="1"/>
  <c r="D15" i="10"/>
  <c r="A15" i="10"/>
  <c r="C21" i="9"/>
  <c r="C22" i="9"/>
  <c r="C23" i="9"/>
  <c r="C24" i="9"/>
  <c r="C25" i="9"/>
  <c r="C20" i="9"/>
  <c r="X24" i="4"/>
  <c r="X23" i="4"/>
  <c r="W24" i="4"/>
  <c r="W23" i="4"/>
  <c r="AA20" i="4"/>
  <c r="I21" i="2"/>
  <c r="J6" i="10"/>
  <c r="H6" i="5"/>
  <c r="K6" i="4"/>
  <c r="R40" i="10"/>
  <c r="Q40" i="10"/>
  <c r="P40" i="10"/>
  <c r="O40" i="10"/>
  <c r="N40" i="10"/>
  <c r="M40" i="10"/>
  <c r="L40" i="10"/>
  <c r="K40" i="10"/>
  <c r="J40" i="10"/>
  <c r="I40" i="10"/>
  <c r="H40" i="10"/>
  <c r="G40" i="10"/>
  <c r="F40" i="10"/>
  <c r="E40" i="10"/>
  <c r="D40" i="10"/>
  <c r="C40" i="10"/>
  <c r="Q39" i="10"/>
  <c r="P39" i="10"/>
  <c r="O39" i="10"/>
  <c r="N39" i="10"/>
  <c r="M39" i="10"/>
  <c r="L39" i="10"/>
  <c r="K39" i="10"/>
  <c r="J39" i="10"/>
  <c r="I39" i="10"/>
  <c r="H39" i="10"/>
  <c r="G39" i="10"/>
  <c r="F39" i="10"/>
  <c r="E39" i="10"/>
  <c r="D39" i="10"/>
  <c r="C39" i="10"/>
  <c r="C39" i="9"/>
  <c r="G28" i="10"/>
  <c r="J28" i="10" s="1"/>
  <c r="J26" i="10"/>
  <c r="K14" i="10"/>
  <c r="L14" i="10" s="1"/>
  <c r="J14" i="10"/>
  <c r="J13" i="10"/>
  <c r="K13" i="10" s="1"/>
  <c r="L13" i="10" s="1"/>
  <c r="L12" i="10"/>
  <c r="K12" i="10"/>
  <c r="J12" i="10"/>
  <c r="J11" i="10"/>
  <c r="V9" i="10"/>
  <c r="R40" i="9"/>
  <c r="Q40" i="9"/>
  <c r="P40" i="9"/>
  <c r="O40" i="9"/>
  <c r="N40" i="9"/>
  <c r="M40" i="9"/>
  <c r="L40" i="9"/>
  <c r="K40" i="9"/>
  <c r="J40" i="9"/>
  <c r="I40" i="9"/>
  <c r="H40" i="9"/>
  <c r="G40" i="9"/>
  <c r="F40" i="9"/>
  <c r="E40" i="9"/>
  <c r="D40" i="9"/>
  <c r="C40" i="9"/>
  <c r="Q39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I31" i="10" l="1"/>
  <c r="L2" i="10"/>
  <c r="K11" i="10"/>
  <c r="L11" i="10" s="1"/>
  <c r="I33" i="10" l="1"/>
  <c r="I35" i="10" s="1"/>
  <c r="O5" i="10" s="1"/>
  <c r="V5" i="9" s="1"/>
  <c r="W9" i="10"/>
  <c r="V9" i="9" l="1"/>
  <c r="U9" i="9"/>
  <c r="U9" i="10" s="1"/>
  <c r="J26" i="9"/>
  <c r="L2" i="9"/>
  <c r="K14" i="9"/>
  <c r="L14" i="9" s="1"/>
  <c r="J14" i="9"/>
  <c r="K13" i="9"/>
  <c r="L13" i="9" s="1"/>
  <c r="J13" i="9"/>
  <c r="L12" i="9"/>
  <c r="K12" i="9"/>
  <c r="J12" i="9"/>
  <c r="P22" i="7" l="1"/>
  <c r="P21" i="7"/>
  <c r="P20" i="7"/>
  <c r="P19" i="7"/>
  <c r="P18" i="7"/>
  <c r="M28" i="7"/>
  <c r="O28" i="7" s="1"/>
  <c r="T31" i="1"/>
  <c r="R22" i="7"/>
  <c r="I29" i="7"/>
  <c r="H29" i="7"/>
  <c r="I28" i="7"/>
  <c r="H28" i="7"/>
  <c r="H27" i="7"/>
  <c r="I27" i="7"/>
  <c r="H26" i="7"/>
  <c r="I26" i="7"/>
  <c r="S26" i="7"/>
  <c r="N28" i="7" l="1"/>
  <c r="Y20" i="4"/>
  <c r="X20" i="4"/>
  <c r="W20" i="4"/>
  <c r="AC71" i="4"/>
  <c r="AD71" i="4"/>
  <c r="AC72" i="4"/>
  <c r="AD72" i="4"/>
  <c r="AC73" i="4"/>
  <c r="AD73" i="4"/>
  <c r="AC74" i="4"/>
  <c r="AD74" i="4"/>
  <c r="AC75" i="4"/>
  <c r="AD75" i="4"/>
  <c r="AC76" i="4"/>
  <c r="AD76" i="4"/>
  <c r="AC77" i="4"/>
  <c r="AD77" i="4"/>
  <c r="AC78" i="4"/>
  <c r="AD78" i="4"/>
  <c r="AC79" i="4"/>
  <c r="AD79" i="4"/>
  <c r="AC80" i="4"/>
  <c r="AD80" i="4"/>
  <c r="AC81" i="4"/>
  <c r="AD81" i="4"/>
  <c r="AC82" i="4"/>
  <c r="AD82" i="4"/>
  <c r="AC83" i="4"/>
  <c r="AD83" i="4"/>
  <c r="AC84" i="4"/>
  <c r="AD84" i="4"/>
  <c r="AC85" i="4"/>
  <c r="AD85" i="4"/>
  <c r="AC86" i="4"/>
  <c r="AD86" i="4"/>
  <c r="AC87" i="4"/>
  <c r="AD87" i="4"/>
  <c r="AC88" i="4"/>
  <c r="AD88" i="4"/>
  <c r="AC89" i="4"/>
  <c r="AD89" i="4"/>
  <c r="AC90" i="4"/>
  <c r="AD90" i="4"/>
  <c r="AC91" i="4"/>
  <c r="AD91" i="4"/>
  <c r="AC92" i="4"/>
  <c r="AD92" i="4"/>
  <c r="AC93" i="4"/>
  <c r="AD93" i="4"/>
  <c r="AC94" i="4"/>
  <c r="AD94" i="4"/>
  <c r="AC95" i="4"/>
  <c r="AD95" i="4"/>
  <c r="AC96" i="4"/>
  <c r="AD96" i="4"/>
  <c r="AC97" i="4"/>
  <c r="AD97" i="4"/>
  <c r="AC98" i="4"/>
  <c r="AD98" i="4"/>
  <c r="AC99" i="4"/>
  <c r="AD99" i="4"/>
  <c r="AC100" i="4"/>
  <c r="AD100" i="4"/>
  <c r="AC101" i="4"/>
  <c r="AD101" i="4"/>
  <c r="AC40" i="4"/>
  <c r="AD40" i="4"/>
  <c r="AC41" i="4"/>
  <c r="AD41" i="4"/>
  <c r="AC42" i="4"/>
  <c r="AD42" i="4"/>
  <c r="AC43" i="4"/>
  <c r="AD43" i="4"/>
  <c r="AC44" i="4"/>
  <c r="AD44" i="4"/>
  <c r="AC45" i="4"/>
  <c r="AD45" i="4"/>
  <c r="AC46" i="4"/>
  <c r="AD46" i="4"/>
  <c r="AC47" i="4"/>
  <c r="AD47" i="4"/>
  <c r="AC48" i="4"/>
  <c r="AD48" i="4"/>
  <c r="AC49" i="4"/>
  <c r="AD49" i="4"/>
  <c r="AC50" i="4"/>
  <c r="AD50" i="4"/>
  <c r="AC51" i="4"/>
  <c r="AD51" i="4"/>
  <c r="AC52" i="4"/>
  <c r="AD52" i="4"/>
  <c r="AC53" i="4"/>
  <c r="AD53" i="4"/>
  <c r="AC54" i="4"/>
  <c r="AD54" i="4"/>
  <c r="AC55" i="4"/>
  <c r="AD55" i="4"/>
  <c r="AC56" i="4"/>
  <c r="AD56" i="4"/>
  <c r="AC57" i="4"/>
  <c r="AD57" i="4"/>
  <c r="AC58" i="4"/>
  <c r="AD58" i="4"/>
  <c r="AC59" i="4"/>
  <c r="AD59" i="4"/>
  <c r="AC60" i="4"/>
  <c r="AD60" i="4"/>
  <c r="AC61" i="4"/>
  <c r="AD61" i="4"/>
  <c r="AC62" i="4"/>
  <c r="AD62" i="4"/>
  <c r="AC63" i="4"/>
  <c r="AD63" i="4"/>
  <c r="AC64" i="4"/>
  <c r="AD64" i="4"/>
  <c r="AC65" i="4"/>
  <c r="AD65" i="4"/>
  <c r="AC66" i="4"/>
  <c r="AD66" i="4"/>
  <c r="AC67" i="4"/>
  <c r="AD67" i="4"/>
  <c r="AC68" i="4"/>
  <c r="AD68" i="4"/>
  <c r="AC69" i="4"/>
  <c r="AD69" i="4"/>
  <c r="AC70" i="4"/>
  <c r="AD70" i="4"/>
  <c r="AC9" i="4"/>
  <c r="AD9" i="4"/>
  <c r="AC10" i="4"/>
  <c r="AD10" i="4"/>
  <c r="AC11" i="4"/>
  <c r="AD11" i="4"/>
  <c r="AC12" i="4"/>
  <c r="AD12" i="4"/>
  <c r="AC13" i="4"/>
  <c r="AD13" i="4"/>
  <c r="AC14" i="4"/>
  <c r="AD14" i="4"/>
  <c r="AC15" i="4"/>
  <c r="AD15" i="4"/>
  <c r="AC16" i="4"/>
  <c r="AD16" i="4"/>
  <c r="AC17" i="4"/>
  <c r="AD17" i="4"/>
  <c r="AC18" i="4"/>
  <c r="AD18" i="4"/>
  <c r="AC19" i="4"/>
  <c r="AD19" i="4"/>
  <c r="AC20" i="4"/>
  <c r="AD20" i="4"/>
  <c r="AC21" i="4"/>
  <c r="AD21" i="4"/>
  <c r="AC22" i="4"/>
  <c r="AD22" i="4"/>
  <c r="AC23" i="4"/>
  <c r="AD23" i="4"/>
  <c r="AC24" i="4"/>
  <c r="AD24" i="4"/>
  <c r="AC25" i="4"/>
  <c r="AD25" i="4"/>
  <c r="AC26" i="4"/>
  <c r="AD26" i="4"/>
  <c r="AC27" i="4"/>
  <c r="AD27" i="4"/>
  <c r="AC28" i="4"/>
  <c r="AD28" i="4"/>
  <c r="AC29" i="4"/>
  <c r="AD29" i="4"/>
  <c r="AC30" i="4"/>
  <c r="AD30" i="4"/>
  <c r="AC31" i="4"/>
  <c r="AD31" i="4"/>
  <c r="AC32" i="4"/>
  <c r="AD32" i="4"/>
  <c r="AC33" i="4"/>
  <c r="AD33" i="4"/>
  <c r="AC34" i="4"/>
  <c r="AD34" i="4"/>
  <c r="AC35" i="4"/>
  <c r="AD35" i="4"/>
  <c r="AC36" i="4"/>
  <c r="AD36" i="4"/>
  <c r="AC37" i="4"/>
  <c r="AD37" i="4"/>
  <c r="AC38" i="4"/>
  <c r="AD38" i="4"/>
  <c r="AC39" i="4"/>
  <c r="AD39" i="4"/>
  <c r="U9" i="4" l="1" a="1"/>
  <c r="M24" i="11" s="1"/>
  <c r="O24" i="11" l="1"/>
  <c r="N24" i="11"/>
  <c r="M22" i="7"/>
  <c r="M19" i="11"/>
  <c r="M21" i="11"/>
  <c r="M18" i="11"/>
  <c r="M20" i="11"/>
  <c r="M22" i="11"/>
  <c r="M23" i="11"/>
  <c r="M19" i="7"/>
  <c r="N19" i="7" s="1"/>
  <c r="AA14" i="4"/>
  <c r="AA19" i="4"/>
  <c r="M27" i="7"/>
  <c r="Y19" i="4"/>
  <c r="X19" i="4"/>
  <c r="W19" i="4"/>
  <c r="AA18" i="4"/>
  <c r="AA17" i="4"/>
  <c r="AA16" i="4"/>
  <c r="AA15" i="4"/>
  <c r="W10" i="4"/>
  <c r="AA13" i="4"/>
  <c r="AA12" i="4"/>
  <c r="AA10" i="4"/>
  <c r="AA11" i="4"/>
  <c r="U9" i="4"/>
  <c r="M20" i="7"/>
  <c r="M21" i="7"/>
  <c r="M26" i="7"/>
  <c r="N26" i="7" s="1"/>
  <c r="M18" i="7"/>
  <c r="M25" i="7"/>
  <c r="M24" i="7"/>
  <c r="M23" i="7"/>
  <c r="W18" i="4"/>
  <c r="X12" i="4"/>
  <c r="Y10" i="4"/>
  <c r="Y17" i="4"/>
  <c r="Y11" i="4"/>
  <c r="Y14" i="4"/>
  <c r="X17" i="4"/>
  <c r="W15" i="4"/>
  <c r="X15" i="4"/>
  <c r="Y15" i="4"/>
  <c r="X18" i="4"/>
  <c r="Y12" i="4"/>
  <c r="W16" i="4"/>
  <c r="X13" i="4"/>
  <c r="W17" i="4"/>
  <c r="Y18" i="4"/>
  <c r="W13" i="4"/>
  <c r="X10" i="4"/>
  <c r="Y13" i="4"/>
  <c r="W14" i="4"/>
  <c r="X14" i="4"/>
  <c r="W12" i="4"/>
  <c r="X16" i="4"/>
  <c r="Y16" i="4"/>
  <c r="X11" i="4"/>
  <c r="W11" i="4"/>
  <c r="AA9" i="4" l="1"/>
  <c r="AF14" i="4" s="1"/>
  <c r="M17" i="11"/>
  <c r="O23" i="11"/>
  <c r="N23" i="11"/>
  <c r="O22" i="11"/>
  <c r="N22" i="11"/>
  <c r="K22" i="11"/>
  <c r="N20" i="11"/>
  <c r="N18" i="11"/>
  <c r="O18" i="11"/>
  <c r="N21" i="11"/>
  <c r="O21" i="11"/>
  <c r="K21" i="11"/>
  <c r="N19" i="11"/>
  <c r="N27" i="7"/>
  <c r="O27" i="7"/>
  <c r="N23" i="7"/>
  <c r="O23" i="7"/>
  <c r="O24" i="7"/>
  <c r="N24" i="7"/>
  <c r="X9" i="4"/>
  <c r="M17" i="7"/>
  <c r="O25" i="7"/>
  <c r="N25" i="7"/>
  <c r="N18" i="7"/>
  <c r="O26" i="7"/>
  <c r="N21" i="7"/>
  <c r="O22" i="7"/>
  <c r="N22" i="7"/>
  <c r="N20" i="7"/>
  <c r="Z17" i="4"/>
  <c r="K22" i="7"/>
  <c r="K21" i="7"/>
  <c r="Y9" i="4"/>
  <c r="Z18" i="4"/>
  <c r="AF19" i="4" l="1"/>
  <c r="AF15" i="4"/>
  <c r="AF12" i="4"/>
  <c r="AF9" i="4"/>
  <c r="AF10" i="4"/>
  <c r="AF11" i="4"/>
  <c r="AF20" i="4"/>
  <c r="AF13" i="4"/>
  <c r="AF18" i="4"/>
  <c r="AF17" i="4"/>
  <c r="AF16" i="4"/>
  <c r="O17" i="11"/>
  <c r="N17" i="11"/>
  <c r="C21" i="11" a="1"/>
  <c r="O17" i="7"/>
  <c r="N17" i="7"/>
  <c r="C21" i="7" a="1"/>
  <c r="K17" i="7"/>
  <c r="W9" i="4"/>
  <c r="Z20" i="4"/>
  <c r="Z19" i="4"/>
  <c r="Z16" i="4"/>
  <c r="Z15" i="4"/>
  <c r="Z12" i="4"/>
  <c r="O20" i="11" s="1"/>
  <c r="Z11" i="4"/>
  <c r="C21" i="11" l="1"/>
  <c r="F21" i="11" s="1"/>
  <c r="F24" i="7" s="1"/>
  <c r="C25" i="7"/>
  <c r="B22" i="11"/>
  <c r="B25" i="7" s="1"/>
  <c r="S22" i="11"/>
  <c r="F22" i="11"/>
  <c r="F25" i="7" s="1"/>
  <c r="E22" i="11"/>
  <c r="E25" i="7" s="1"/>
  <c r="D22" i="11"/>
  <c r="D25" i="7" s="1"/>
  <c r="O19" i="7"/>
  <c r="O19" i="11"/>
  <c r="C21" i="7"/>
  <c r="D21" i="7" s="1"/>
  <c r="D22" i="7"/>
  <c r="AG9" i="4" a="1"/>
  <c r="C18" i="9" s="1"/>
  <c r="A18" i="9" s="1"/>
  <c r="C19" i="9"/>
  <c r="D19" i="9" s="1"/>
  <c r="O20" i="7"/>
  <c r="AJ11" i="4"/>
  <c r="E22" i="7"/>
  <c r="E23" i="7"/>
  <c r="F22" i="7"/>
  <c r="B22" i="7"/>
  <c r="S22" i="7"/>
  <c r="S23" i="7"/>
  <c r="B23" i="7"/>
  <c r="F23" i="7"/>
  <c r="Z13" i="4"/>
  <c r="Z14" i="4"/>
  <c r="Z10" i="4"/>
  <c r="O18" i="7" s="1"/>
  <c r="AG9" i="4" l="1"/>
  <c r="C17" i="9"/>
  <c r="A17" i="9" s="1"/>
  <c r="C16" i="9"/>
  <c r="D16" i="9" s="1"/>
  <c r="C24" i="7"/>
  <c r="B21" i="11"/>
  <c r="B24" i="7" s="1"/>
  <c r="D21" i="11"/>
  <c r="D24" i="7" s="1"/>
  <c r="S21" i="11"/>
  <c r="E21" i="11"/>
  <c r="E24" i="7" s="1"/>
  <c r="H25" i="7"/>
  <c r="S25" i="7"/>
  <c r="I25" i="7"/>
  <c r="B21" i="7"/>
  <c r="C15" i="9"/>
  <c r="D15" i="9" s="1"/>
  <c r="D18" i="9"/>
  <c r="A19" i="9"/>
  <c r="O21" i="7"/>
  <c r="S21" i="7"/>
  <c r="F21" i="7"/>
  <c r="E21" i="7"/>
  <c r="E10" i="1"/>
  <c r="E11" i="1"/>
  <c r="E12" i="1"/>
  <c r="D17" i="9" l="1"/>
  <c r="A16" i="9"/>
  <c r="A15" i="9"/>
  <c r="I24" i="2"/>
  <c r="J24" i="2" s="1"/>
  <c r="E26" i="1" l="1"/>
  <c r="E5" i="1"/>
  <c r="E28" i="1" l="1"/>
  <c r="E29" i="1" l="1"/>
  <c r="G27" i="1" l="1"/>
  <c r="G19" i="1" l="1"/>
  <c r="E7" i="1" l="1"/>
  <c r="E18" i="1" l="1"/>
  <c r="E17" i="1"/>
  <c r="E8" i="1" l="1"/>
  <c r="R34" i="1" l="1"/>
  <c r="R33" i="1"/>
  <c r="R32" i="1"/>
  <c r="R31" i="1"/>
  <c r="R13" i="1" l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I42" i="5" l="1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K8" i="4" s="1"/>
  <c r="H8" i="5" l="1"/>
  <c r="K4" i="4"/>
  <c r="H4" i="5"/>
  <c r="J38" i="2" l="1"/>
  <c r="J39" i="2"/>
  <c r="J40" i="2"/>
  <c r="J41" i="2"/>
  <c r="J42" i="2"/>
  <c r="J43" i="2"/>
  <c r="I22" i="2"/>
  <c r="J22" i="2" s="1"/>
  <c r="I23" i="2"/>
  <c r="J23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33" i="2"/>
  <c r="J33" i="2" s="1"/>
  <c r="I34" i="2"/>
  <c r="J34" i="2" s="1"/>
  <c r="I35" i="2"/>
  <c r="J35" i="2" s="1"/>
  <c r="I36" i="2"/>
  <c r="J36" i="2" s="1"/>
  <c r="I37" i="2"/>
  <c r="J37" i="2" s="1"/>
  <c r="I38" i="2"/>
  <c r="I39" i="2"/>
  <c r="I40" i="2"/>
  <c r="I41" i="2"/>
  <c r="I42" i="2"/>
  <c r="I43" i="2"/>
  <c r="J21" i="2"/>
  <c r="A16" i="2" l="1"/>
  <c r="T14" i="1"/>
  <c r="T11" i="1"/>
  <c r="T12" i="1"/>
  <c r="T13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E4" i="1" l="1"/>
  <c r="N34" i="1" l="1"/>
  <c r="L34" i="1"/>
  <c r="I34" i="1"/>
  <c r="G34" i="1"/>
  <c r="N33" i="1"/>
  <c r="L33" i="1"/>
  <c r="I33" i="1"/>
  <c r="G33" i="1"/>
  <c r="E33" i="1"/>
  <c r="N32" i="1"/>
  <c r="L32" i="1"/>
  <c r="I32" i="1"/>
  <c r="G32" i="1"/>
  <c r="E32" i="1"/>
  <c r="N31" i="1"/>
  <c r="L31" i="1"/>
  <c r="I31" i="1"/>
  <c r="G31" i="1"/>
  <c r="E31" i="1"/>
  <c r="N30" i="1"/>
  <c r="L30" i="1"/>
  <c r="I30" i="1"/>
  <c r="G30" i="1"/>
  <c r="E30" i="1"/>
  <c r="N29" i="1"/>
  <c r="L29" i="1"/>
  <c r="I29" i="1"/>
  <c r="G29" i="1"/>
  <c r="N28" i="1"/>
  <c r="L28" i="1"/>
  <c r="I28" i="1"/>
  <c r="G28" i="1"/>
  <c r="N27" i="1"/>
  <c r="L27" i="1"/>
  <c r="I27" i="1"/>
  <c r="E27" i="1"/>
  <c r="N26" i="1"/>
  <c r="L26" i="1"/>
  <c r="I26" i="1"/>
  <c r="G26" i="1"/>
  <c r="N25" i="1"/>
  <c r="L25" i="1"/>
  <c r="I25" i="1"/>
  <c r="G25" i="1"/>
  <c r="E25" i="1"/>
  <c r="N24" i="1"/>
  <c r="L24" i="1"/>
  <c r="I24" i="1"/>
  <c r="G24" i="1"/>
  <c r="E24" i="1"/>
  <c r="N23" i="1"/>
  <c r="L23" i="1"/>
  <c r="I23" i="1"/>
  <c r="G23" i="1"/>
  <c r="E23" i="1"/>
  <c r="N22" i="1"/>
  <c r="L22" i="1"/>
  <c r="I22" i="1"/>
  <c r="G22" i="1"/>
  <c r="E22" i="1"/>
  <c r="N21" i="1"/>
  <c r="L21" i="1"/>
  <c r="I21" i="1"/>
  <c r="G21" i="1"/>
  <c r="E21" i="1"/>
  <c r="N20" i="1"/>
  <c r="L20" i="1"/>
  <c r="I20" i="1"/>
  <c r="G20" i="1"/>
  <c r="E20" i="1"/>
  <c r="N19" i="1"/>
  <c r="L19" i="1"/>
  <c r="I19" i="1"/>
  <c r="E19" i="1"/>
  <c r="N18" i="1"/>
  <c r="L18" i="1"/>
  <c r="I18" i="1"/>
  <c r="G18" i="1"/>
  <c r="N17" i="1"/>
  <c r="L17" i="1"/>
  <c r="I17" i="1"/>
  <c r="G17" i="1"/>
  <c r="N16" i="1"/>
  <c r="L16" i="1"/>
  <c r="I16" i="1"/>
  <c r="G16" i="1"/>
  <c r="E16" i="1"/>
  <c r="N15" i="1"/>
  <c r="L15" i="1"/>
  <c r="I15" i="1"/>
  <c r="G15" i="1"/>
  <c r="E15" i="1"/>
  <c r="N14" i="1"/>
  <c r="L14" i="1"/>
  <c r="I14" i="1"/>
  <c r="G14" i="1"/>
  <c r="E14" i="1"/>
  <c r="N13" i="1"/>
  <c r="L13" i="1"/>
  <c r="I13" i="1"/>
  <c r="G13" i="1"/>
  <c r="E13" i="1"/>
  <c r="N12" i="1"/>
  <c r="L12" i="1"/>
  <c r="I12" i="1"/>
  <c r="G12" i="1"/>
  <c r="N11" i="1"/>
  <c r="L11" i="1"/>
  <c r="I11" i="1"/>
  <c r="G11" i="1"/>
  <c r="N10" i="1"/>
  <c r="L10" i="1"/>
  <c r="I10" i="1"/>
  <c r="G10" i="1"/>
  <c r="N9" i="1"/>
  <c r="L9" i="1"/>
  <c r="I9" i="1"/>
  <c r="G9" i="1"/>
  <c r="E9" i="1"/>
  <c r="N8" i="1"/>
  <c r="L8" i="1"/>
  <c r="I8" i="1"/>
  <c r="G8" i="1"/>
  <c r="N7" i="1"/>
  <c r="L7" i="1"/>
  <c r="I7" i="1"/>
  <c r="G7" i="1"/>
  <c r="N6" i="1"/>
  <c r="L6" i="1"/>
  <c r="I6" i="1"/>
  <c r="G6" i="1"/>
  <c r="E6" i="1"/>
  <c r="N5" i="1"/>
  <c r="L5" i="1"/>
  <c r="I5" i="1"/>
  <c r="G5" i="1"/>
  <c r="N4" i="1"/>
  <c r="L4" i="1"/>
  <c r="I4" i="1"/>
  <c r="G4" i="1"/>
  <c r="R12" i="1" s="1"/>
  <c r="A4" i="1"/>
  <c r="C4" i="1" s="1"/>
  <c r="R11" i="1" l="1"/>
  <c r="R7" i="1"/>
  <c r="R10" i="1"/>
  <c r="R9" i="1"/>
  <c r="R8" i="1"/>
  <c r="N35" i="1"/>
  <c r="T10" i="1"/>
  <c r="T9" i="1"/>
  <c r="R3" i="1"/>
  <c r="R4" i="1"/>
  <c r="G35" i="1"/>
  <c r="R5" i="1"/>
  <c r="E35" i="1"/>
  <c r="R2" i="1"/>
  <c r="R6" i="1"/>
  <c r="R1" i="1"/>
  <c r="T8" i="1"/>
  <c r="T6" i="1"/>
  <c r="T7" i="1"/>
  <c r="T2" i="1"/>
  <c r="T3" i="1"/>
  <c r="T1" i="1"/>
  <c r="T4" i="1"/>
  <c r="T5" i="1"/>
  <c r="L35" i="1"/>
  <c r="I35" i="1"/>
  <c r="J4" i="1"/>
  <c r="A5" i="1"/>
  <c r="B4" i="1"/>
  <c r="B12" i="4" s="1"/>
  <c r="T12" i="4" s="1"/>
  <c r="N12" i="5" l="1"/>
  <c r="L36" i="1"/>
  <c r="E36" i="1"/>
  <c r="B12" i="5"/>
  <c r="A6" i="1"/>
  <c r="B5" i="1"/>
  <c r="B13" i="4" s="1"/>
  <c r="J5" i="1"/>
  <c r="C5" i="1"/>
  <c r="E38" i="1" l="1"/>
  <c r="T13" i="4"/>
  <c r="B13" i="5"/>
  <c r="A7" i="1"/>
  <c r="J6" i="1"/>
  <c r="C6" i="1"/>
  <c r="B6" i="1"/>
  <c r="B14" i="4" s="1"/>
  <c r="N13" i="5" l="1"/>
  <c r="T14" i="4"/>
  <c r="B14" i="5"/>
  <c r="J7" i="1"/>
  <c r="C7" i="1"/>
  <c r="A8" i="1"/>
  <c r="B7" i="1"/>
  <c r="B15" i="4" s="1"/>
  <c r="N14" i="5" l="1"/>
  <c r="T15" i="4"/>
  <c r="B15" i="5"/>
  <c r="J8" i="1"/>
  <c r="C8" i="1"/>
  <c r="A9" i="1"/>
  <c r="B8" i="1"/>
  <c r="B16" i="4" s="1"/>
  <c r="N15" i="5" l="1"/>
  <c r="B16" i="5"/>
  <c r="T16" i="4"/>
  <c r="A10" i="1"/>
  <c r="B9" i="1"/>
  <c r="B17" i="4" s="1"/>
  <c r="J9" i="1"/>
  <c r="C9" i="1"/>
  <c r="N16" i="5" l="1"/>
  <c r="T17" i="4"/>
  <c r="B17" i="5"/>
  <c r="A11" i="1"/>
  <c r="J10" i="1"/>
  <c r="C10" i="1"/>
  <c r="B10" i="1"/>
  <c r="B18" i="4" s="1"/>
  <c r="N17" i="5" l="1"/>
  <c r="T18" i="4"/>
  <c r="B18" i="5"/>
  <c r="J11" i="1"/>
  <c r="C11" i="1"/>
  <c r="A12" i="1"/>
  <c r="B11" i="1"/>
  <c r="B19" i="4" s="1"/>
  <c r="N18" i="5" l="1"/>
  <c r="T19" i="4"/>
  <c r="B19" i="5"/>
  <c r="J12" i="1"/>
  <c r="C12" i="1"/>
  <c r="A13" i="1"/>
  <c r="B12" i="1"/>
  <c r="B20" i="4" s="1"/>
  <c r="N19" i="5" l="1"/>
  <c r="B20" i="5"/>
  <c r="T20" i="4"/>
  <c r="A14" i="1"/>
  <c r="B13" i="1"/>
  <c r="B21" i="4" s="1"/>
  <c r="J13" i="1"/>
  <c r="C13" i="1"/>
  <c r="N20" i="5" l="1"/>
  <c r="T21" i="4"/>
  <c r="B21" i="5"/>
  <c r="A15" i="1"/>
  <c r="J14" i="1"/>
  <c r="C14" i="1"/>
  <c r="B14" i="1"/>
  <c r="B22" i="4" s="1"/>
  <c r="N21" i="5" l="1"/>
  <c r="T22" i="4"/>
  <c r="B22" i="5"/>
  <c r="J15" i="1"/>
  <c r="C15" i="1"/>
  <c r="A16" i="1"/>
  <c r="B15" i="1"/>
  <c r="B23" i="4" s="1"/>
  <c r="N22" i="5" l="1"/>
  <c r="T23" i="4"/>
  <c r="B23" i="5"/>
  <c r="J16" i="1"/>
  <c r="C16" i="1"/>
  <c r="A17" i="1"/>
  <c r="B16" i="1"/>
  <c r="B24" i="4" s="1"/>
  <c r="N23" i="5" l="1"/>
  <c r="B24" i="5"/>
  <c r="T24" i="4"/>
  <c r="N24" i="5" s="1"/>
  <c r="A18" i="1"/>
  <c r="B17" i="1"/>
  <c r="B25" i="4" s="1"/>
  <c r="J17" i="1"/>
  <c r="C17" i="1"/>
  <c r="T25" i="4" l="1"/>
  <c r="B25" i="5"/>
  <c r="J18" i="1"/>
  <c r="C18" i="1"/>
  <c r="B18" i="1"/>
  <c r="B26" i="4" s="1"/>
  <c r="A19" i="1"/>
  <c r="N25" i="5" l="1"/>
  <c r="T26" i="4"/>
  <c r="Z24" i="4" s="1"/>
  <c r="B26" i="5"/>
  <c r="J19" i="1"/>
  <c r="C19" i="1"/>
  <c r="A20" i="1"/>
  <c r="B19" i="1"/>
  <c r="B27" i="4" s="1"/>
  <c r="AA24" i="4" l="1"/>
  <c r="N26" i="5"/>
  <c r="T27" i="4"/>
  <c r="B27" i="5"/>
  <c r="J20" i="1"/>
  <c r="C20" i="1"/>
  <c r="A21" i="1"/>
  <c r="B20" i="1"/>
  <c r="B28" i="4" s="1"/>
  <c r="R21" i="7" l="1"/>
  <c r="R21" i="11"/>
  <c r="N27" i="5"/>
  <c r="B28" i="5"/>
  <c r="T28" i="4"/>
  <c r="A22" i="1"/>
  <c r="B21" i="1"/>
  <c r="B29" i="4" s="1"/>
  <c r="J21" i="1"/>
  <c r="C21" i="1"/>
  <c r="N28" i="5" l="1"/>
  <c r="T29" i="4"/>
  <c r="B29" i="5"/>
  <c r="J22" i="1"/>
  <c r="C22" i="1"/>
  <c r="A23" i="1"/>
  <c r="B22" i="1"/>
  <c r="B30" i="4" s="1"/>
  <c r="N29" i="5" l="1"/>
  <c r="T30" i="4"/>
  <c r="N30" i="5" s="1"/>
  <c r="B30" i="5"/>
  <c r="J23" i="1"/>
  <c r="C23" i="1"/>
  <c r="A24" i="1"/>
  <c r="B23" i="1"/>
  <c r="B31" i="4" s="1"/>
  <c r="T31" i="4" l="1"/>
  <c r="B31" i="5"/>
  <c r="J24" i="1"/>
  <c r="C24" i="1"/>
  <c r="A25" i="1"/>
  <c r="B24" i="1"/>
  <c r="B32" i="4" s="1"/>
  <c r="N31" i="5" l="1"/>
  <c r="B32" i="5"/>
  <c r="T32" i="4"/>
  <c r="A26" i="1"/>
  <c r="B25" i="1"/>
  <c r="B33" i="4" s="1"/>
  <c r="J25" i="1"/>
  <c r="C25" i="1"/>
  <c r="N32" i="5" l="1"/>
  <c r="T33" i="4"/>
  <c r="B33" i="5"/>
  <c r="J26" i="1"/>
  <c r="C26" i="1"/>
  <c r="A27" i="1"/>
  <c r="B26" i="1"/>
  <c r="B34" i="4" s="1"/>
  <c r="T34" i="4" s="1"/>
  <c r="N33" i="5" l="1"/>
  <c r="N34" i="5"/>
  <c r="B34" i="5"/>
  <c r="J27" i="1"/>
  <c r="C27" i="1"/>
  <c r="A28" i="1"/>
  <c r="B27" i="1"/>
  <c r="B35" i="4" s="1"/>
  <c r="T35" i="4" l="1"/>
  <c r="N35" i="5" s="1"/>
  <c r="B35" i="5"/>
  <c r="J28" i="1"/>
  <c r="C28" i="1"/>
  <c r="A29" i="1"/>
  <c r="B28" i="1"/>
  <c r="B36" i="4" s="1"/>
  <c r="B36" i="5" l="1"/>
  <c r="T36" i="4"/>
  <c r="A30" i="1"/>
  <c r="B29" i="1"/>
  <c r="B37" i="4" s="1"/>
  <c r="J29" i="1"/>
  <c r="C29" i="1"/>
  <c r="N36" i="5" l="1"/>
  <c r="Z9" i="4"/>
  <c r="T37" i="4"/>
  <c r="N37" i="5" s="1"/>
  <c r="B37" i="5"/>
  <c r="J30" i="1"/>
  <c r="C30" i="1"/>
  <c r="A31" i="1"/>
  <c r="B30" i="1"/>
  <c r="B38" i="4" s="1"/>
  <c r="AH14" i="4" l="1"/>
  <c r="E19" i="9" s="1"/>
  <c r="J19" i="9" s="1"/>
  <c r="AH13" i="4"/>
  <c r="E18" i="9" s="1"/>
  <c r="J18" i="9" s="1"/>
  <c r="AH10" i="4"/>
  <c r="E15" i="9" s="1"/>
  <c r="J15" i="9" s="1"/>
  <c r="AH12" i="4"/>
  <c r="E17" i="9" s="1"/>
  <c r="J17" i="9" s="1"/>
  <c r="AH11" i="4"/>
  <c r="E16" i="9" s="1"/>
  <c r="J16" i="9" s="1"/>
  <c r="AH20" i="4"/>
  <c r="E25" i="9" s="1"/>
  <c r="J25" i="9" s="1"/>
  <c r="AH19" i="4"/>
  <c r="E24" i="9" s="1"/>
  <c r="J24" i="9" s="1"/>
  <c r="AH18" i="4"/>
  <c r="E23" i="9" s="1"/>
  <c r="J23" i="9" s="1"/>
  <c r="AH17" i="4"/>
  <c r="E22" i="9" s="1"/>
  <c r="J22" i="9" s="1"/>
  <c r="AH16" i="4"/>
  <c r="E21" i="9" s="1"/>
  <c r="J21" i="9" s="1"/>
  <c r="AH15" i="4"/>
  <c r="E20" i="9" s="1"/>
  <c r="J20" i="9" s="1"/>
  <c r="T38" i="4"/>
  <c r="B38" i="5"/>
  <c r="J31" i="1"/>
  <c r="C31" i="1"/>
  <c r="A32" i="1"/>
  <c r="B31" i="1"/>
  <c r="B39" i="4" s="1"/>
  <c r="I29" i="9" l="1"/>
  <c r="N38" i="5"/>
  <c r="A33" i="1"/>
  <c r="B32" i="1"/>
  <c r="T39" i="4"/>
  <c r="N39" i="5" s="1"/>
  <c r="B39" i="5"/>
  <c r="J32" i="1"/>
  <c r="C32" i="1"/>
  <c r="B40" i="4"/>
  <c r="B40" i="5" l="1"/>
  <c r="T40" i="4"/>
  <c r="A34" i="1"/>
  <c r="B33" i="1"/>
  <c r="B41" i="4" s="1"/>
  <c r="J33" i="1"/>
  <c r="C33" i="1"/>
  <c r="N40" i="5" l="1"/>
  <c r="T41" i="4"/>
  <c r="N41" i="5" s="1"/>
  <c r="B41" i="5"/>
  <c r="J34" i="1"/>
  <c r="C34" i="1"/>
  <c r="B34" i="1"/>
  <c r="B42" i="4" s="1"/>
  <c r="T42" i="4" l="1"/>
  <c r="V21" i="4" s="1" a="1"/>
  <c r="B42" i="5"/>
  <c r="V21" i="4" l="1"/>
  <c r="W21" i="4" s="1"/>
  <c r="W22" i="4"/>
  <c r="X22" i="4"/>
  <c r="Y22" i="4"/>
  <c r="Z23" i="4"/>
  <c r="N42" i="5"/>
  <c r="X21" i="4" l="1"/>
  <c r="Y21" i="4"/>
  <c r="Z22" i="4"/>
  <c r="AA23" i="4"/>
  <c r="R20" i="7" l="1"/>
  <c r="R20" i="11"/>
  <c r="Z21" i="4"/>
  <c r="AJ10" i="4" s="1"/>
  <c r="AJ12" i="4" s="1"/>
  <c r="AA22" i="4"/>
  <c r="R19" i="7" l="1"/>
  <c r="R19" i="11"/>
  <c r="E11" i="9"/>
  <c r="J11" i="9" s="1"/>
  <c r="F28" i="9"/>
  <c r="G28" i="9" s="1"/>
  <c r="J28" i="9" s="1"/>
  <c r="AA21" i="4"/>
  <c r="G25" i="11" l="1"/>
  <c r="G23" i="11"/>
  <c r="G26" i="7" s="1"/>
  <c r="G21" i="11"/>
  <c r="G22" i="11"/>
  <c r="G24" i="11"/>
  <c r="G26" i="11"/>
  <c r="R18" i="7"/>
  <c r="R18" i="11"/>
  <c r="G21" i="7"/>
  <c r="I21" i="7" s="1"/>
  <c r="K11" i="9"/>
  <c r="L11" i="9" s="1"/>
  <c r="I31" i="9"/>
  <c r="G22" i="7"/>
  <c r="H22" i="7" s="1"/>
  <c r="G23" i="7"/>
  <c r="I23" i="7"/>
  <c r="H23" i="7"/>
  <c r="G25" i="7" l="1"/>
  <c r="I22" i="11"/>
  <c r="H22" i="11"/>
  <c r="H21" i="11"/>
  <c r="I21" i="11"/>
  <c r="G24" i="7"/>
  <c r="H24" i="7" s="1"/>
  <c r="H21" i="7"/>
  <c r="I33" i="9"/>
  <c r="I35" i="9" s="1"/>
  <c r="O5" i="9" s="1"/>
  <c r="V4" i="9" s="1"/>
  <c r="V3" i="9" s="1"/>
  <c r="W9" i="9"/>
  <c r="I22" i="7"/>
  <c r="S24" i="7"/>
  <c r="A16" i="11" l="1"/>
  <c r="I24" i="7"/>
  <c r="A16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yuko</author>
  </authors>
  <commentList>
    <comment ref="H12" authorId="0" shapeId="0" xr:uid="{00000000-0006-0000-0200-000001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12" authorId="0" shapeId="0" xr:uid="{00000000-0006-0000-0200-000002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2" authorId="0" shapeId="0" xr:uid="{00000000-0006-0000-0200-000003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3" authorId="0" shapeId="0" xr:uid="{00000000-0006-0000-0200-000004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13" authorId="0" shapeId="0" xr:uid="{00000000-0006-0000-0200-000005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3" authorId="0" shapeId="0" xr:uid="{00000000-0006-0000-0200-000006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4" authorId="0" shapeId="0" xr:uid="{00000000-0006-0000-0200-000007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14" authorId="0" shapeId="0" xr:uid="{00000000-0006-0000-0200-000008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4" authorId="0" shapeId="0" xr:uid="{00000000-0006-0000-0200-000009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5" authorId="0" shapeId="0" xr:uid="{00000000-0006-0000-0200-00000A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6" authorId="0" shapeId="0" xr:uid="{00000000-0006-0000-0200-00000C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17" authorId="0" shapeId="0" xr:uid="{00000000-0006-0000-0200-00000D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7" authorId="0" shapeId="0" xr:uid="{00000000-0006-0000-0200-00000E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E18" authorId="0" shapeId="0" xr:uid="{00000000-0006-0000-0200-00000F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8" authorId="0" shapeId="0" xr:uid="{00000000-0006-0000-0200-000010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18" authorId="0" shapeId="0" xr:uid="{00000000-0006-0000-0200-000011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8" authorId="0" shapeId="0" xr:uid="{00000000-0006-0000-0200-000012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9" authorId="0" shapeId="0" xr:uid="{00000000-0006-0000-0200-000013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19" authorId="0" shapeId="0" xr:uid="{00000000-0006-0000-0200-000014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9" authorId="0" shapeId="0" xr:uid="{00000000-0006-0000-0200-000015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0" authorId="0" shapeId="0" xr:uid="{00000000-0006-0000-0200-000016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0" authorId="0" shapeId="0" xr:uid="{00000000-0006-0000-0200-000017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0" authorId="0" shapeId="0" xr:uid="{00000000-0006-0000-0200-000018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1" authorId="0" shapeId="0" xr:uid="{00000000-0006-0000-0200-000019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1" authorId="0" shapeId="0" xr:uid="{00000000-0006-0000-0200-00001A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1" authorId="0" shapeId="0" xr:uid="{00000000-0006-0000-0200-00001B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2" authorId="0" shapeId="0" xr:uid="{00000000-0006-0000-0200-00001C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2" authorId="0" shapeId="0" xr:uid="{00000000-0006-0000-0200-00001D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3" authorId="0" shapeId="0" xr:uid="{00000000-0006-0000-0200-00001E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3" authorId="0" shapeId="0" xr:uid="{00000000-0006-0000-0200-00001F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E24" authorId="0" shapeId="0" xr:uid="{00000000-0006-0000-0200-000020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4" authorId="0" shapeId="0" xr:uid="{00000000-0006-0000-0200-000021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4" authorId="0" shapeId="0" xr:uid="{00000000-0006-0000-0200-000022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5" authorId="0" shapeId="0" xr:uid="{00000000-0006-0000-0200-000023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5" authorId="0" shapeId="0" xr:uid="{00000000-0006-0000-0200-000024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5" authorId="0" shapeId="0" xr:uid="{00000000-0006-0000-0200-000025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6" authorId="0" shapeId="0" xr:uid="{00000000-0006-0000-0200-000026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6" authorId="0" shapeId="0" xr:uid="{00000000-0006-0000-0200-000027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6" authorId="0" shapeId="0" xr:uid="{00000000-0006-0000-0200-000028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E27" authorId="0" shapeId="0" xr:uid="{00000000-0006-0000-0200-000029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7" authorId="0" shapeId="0" xr:uid="{00000000-0006-0000-0200-00002A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7" authorId="0" shapeId="0" xr:uid="{00000000-0006-0000-0200-00002B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8" authorId="0" shapeId="0" xr:uid="{00000000-0006-0000-0200-00002C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28" authorId="0" shapeId="0" xr:uid="{00000000-0006-0000-0200-00002D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8" authorId="0" shapeId="0" xr:uid="{00000000-0006-0000-0200-00002E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9" authorId="0" shapeId="0" xr:uid="{26928ED7-9CD4-49E4-A0D5-B24C680D7EBF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29" authorId="0" shapeId="0" xr:uid="{00000000-0006-0000-0200-00002F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0" authorId="0" shapeId="0" xr:uid="{00000000-0006-0000-0200-000030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31" authorId="0" shapeId="0" xr:uid="{00000000-0006-0000-0200-000031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1" authorId="0" shapeId="0" xr:uid="{00000000-0006-0000-0200-000032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2" authorId="0" shapeId="0" xr:uid="{00000000-0006-0000-0200-000033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32" authorId="0" shapeId="0" xr:uid="{00000000-0006-0000-0200-000034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2" authorId="0" shapeId="0" xr:uid="{00000000-0006-0000-0200-000035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3" authorId="0" shapeId="0" xr:uid="{00000000-0006-0000-0200-000036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33" authorId="0" shapeId="0" xr:uid="{00000000-0006-0000-0200-000037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3" authorId="0" shapeId="0" xr:uid="{00000000-0006-0000-0200-000038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4" authorId="0" shapeId="0" xr:uid="{00000000-0006-0000-0200-000039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34" authorId="0" shapeId="0" xr:uid="{00000000-0006-0000-0200-00003A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4" authorId="0" shapeId="0" xr:uid="{00000000-0006-0000-0200-00003B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5" authorId="0" shapeId="0" xr:uid="{00000000-0006-0000-0200-00003C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35" authorId="0" shapeId="0" xr:uid="{00000000-0006-0000-0200-00003D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5" authorId="0" shapeId="0" xr:uid="{00000000-0006-0000-0200-00003E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6" authorId="0" shapeId="0" xr:uid="{00000000-0006-0000-0200-00003F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37" authorId="0" shapeId="0" xr:uid="{00000000-0006-0000-0200-000040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7" authorId="0" shapeId="0" xr:uid="{00000000-0006-0000-0200-000041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38" authorId="0" shapeId="0" xr:uid="{00000000-0006-0000-0200-000042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8" authorId="0" shapeId="0" xr:uid="{00000000-0006-0000-0200-000043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9" authorId="0" shapeId="0" xr:uid="{00000000-0006-0000-0200-000044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39" authorId="0" shapeId="0" xr:uid="{00000000-0006-0000-0200-000045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39" authorId="0" shapeId="0" xr:uid="{00000000-0006-0000-0200-000046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40" authorId="0" shapeId="0" xr:uid="{00000000-0006-0000-0200-000047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40" authorId="0" shapeId="0" xr:uid="{00000000-0006-0000-0200-000048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40" authorId="0" shapeId="0" xr:uid="{00000000-0006-0000-0200-000049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41" authorId="0" shapeId="0" xr:uid="{00000000-0006-0000-0200-00004A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41" authorId="0" shapeId="0" xr:uid="{00000000-0006-0000-0200-00004B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41" authorId="0" shapeId="0" xr:uid="{00000000-0006-0000-0200-00004C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42" authorId="0" shapeId="0" xr:uid="{00000000-0006-0000-0200-00004D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K42" authorId="0" shapeId="0" xr:uid="{00000000-0006-0000-0200-00004E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42" authorId="0" shapeId="0" xr:uid="{00000000-0006-0000-0200-00004F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yuko</author>
  </authors>
  <commentList>
    <comment ref="H12" authorId="0" shapeId="0" xr:uid="{00000000-0006-0000-0300-000001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3" authorId="0" shapeId="0" xr:uid="{00000000-0006-0000-0300-000002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4" authorId="0" shapeId="0" xr:uid="{00000000-0006-0000-0300-000003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5" authorId="0" shapeId="0" xr:uid="{00000000-0006-0000-0300-000004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6" authorId="0" shapeId="0" xr:uid="{00000000-0006-0000-0300-000005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7" authorId="0" shapeId="0" xr:uid="{00000000-0006-0000-0300-000006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8" authorId="0" shapeId="0" xr:uid="{00000000-0006-0000-0300-000007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19" authorId="0" shapeId="0" xr:uid="{00000000-0006-0000-0300-000008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0" authorId="0" shapeId="0" xr:uid="{00000000-0006-0000-0300-000009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1" authorId="0" shapeId="0" xr:uid="{00000000-0006-0000-0300-00000A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2" authorId="0" shapeId="0" xr:uid="{00000000-0006-0000-0300-00000B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3" authorId="0" shapeId="0" xr:uid="{00000000-0006-0000-0300-00000C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4" authorId="0" shapeId="0" xr:uid="{00000000-0006-0000-0300-00000D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5" authorId="0" shapeId="0" xr:uid="{00000000-0006-0000-0300-00000E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6" authorId="0" shapeId="0" xr:uid="{00000000-0006-0000-0300-00000F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7" authorId="0" shapeId="0" xr:uid="{00000000-0006-0000-0300-000010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8" authorId="0" shapeId="0" xr:uid="{00000000-0006-0000-0300-000011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29" authorId="0" shapeId="0" xr:uid="{00000000-0006-0000-0300-000012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0" authorId="0" shapeId="0" xr:uid="{00000000-0006-0000-0300-000013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1" authorId="0" shapeId="0" xr:uid="{00000000-0006-0000-0300-000014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2" authorId="0" shapeId="0" xr:uid="{00000000-0006-0000-0300-000015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3" authorId="0" shapeId="0" xr:uid="{00000000-0006-0000-0300-000016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4" authorId="0" shapeId="0" xr:uid="{00000000-0006-0000-0300-000017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5" authorId="0" shapeId="0" xr:uid="{00000000-0006-0000-0300-000018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6" authorId="0" shapeId="0" xr:uid="{00000000-0006-0000-0300-000019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7" authorId="0" shapeId="0" xr:uid="{00000000-0006-0000-0300-00001A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8" authorId="0" shapeId="0" xr:uid="{00000000-0006-0000-0300-00001B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39" authorId="0" shapeId="0" xr:uid="{00000000-0006-0000-0300-00001C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40" authorId="0" shapeId="0" xr:uid="{00000000-0006-0000-0300-00001D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41" authorId="0" shapeId="0" xr:uid="{00000000-0006-0000-0300-00001E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H42" authorId="0" shapeId="0" xr:uid="{00000000-0006-0000-0300-00001F000000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yuko</author>
  </authors>
  <commentList>
    <comment ref="B3" authorId="0" shapeId="0" xr:uid="{34A71F13-F3EB-4C97-85BA-6DA6C1315E52}">
      <text>
        <r>
          <rPr>
            <sz val="9"/>
            <color indexed="81"/>
            <rFont val="ＭＳ Ｐゴシック"/>
            <family val="3"/>
            <charset val="128"/>
          </rPr>
          <t>■入力箇所</t>
        </r>
      </text>
    </comment>
    <comment ref="O5" authorId="0" shapeId="0" xr:uid="{AF4C0886-29AB-434E-BB02-AA22852211B3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E11" authorId="0" shapeId="0" xr:uid="{65CC9E67-E599-4CB3-B9A1-B69CDBB37F59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J11" authorId="0" shapeId="0" xr:uid="{CC1B9B8A-A57F-43EF-A292-51C4E7F35D67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O12" authorId="0" shapeId="0" xr:uid="{F3DBA83E-22A0-4B79-B195-0D8207F3723C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J15" authorId="0" shapeId="0" xr:uid="{B46893D9-0515-4D2C-9516-363FAC53F914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8" authorId="0" shapeId="0" xr:uid="{482B248E-6DB4-4641-BB29-50BD78F56E64}">
      <text>
        <r>
          <rPr>
            <sz val="9"/>
            <color indexed="81"/>
            <rFont val="ＭＳ Ｐゴシック"/>
            <family val="3"/>
            <charset val="128"/>
          </rPr>
          <t>■入力</t>
        </r>
      </text>
    </comment>
    <comment ref="N20" authorId="0" shapeId="0" xr:uid="{AC0E7B38-5DAD-46A5-B5D8-64DBC835AB53}">
      <text>
        <r>
          <rPr>
            <sz val="9"/>
            <color indexed="81"/>
            <rFont val="ＭＳ Ｐゴシック"/>
            <family val="3"/>
            <charset val="128"/>
          </rPr>
          <t>■入力</t>
        </r>
      </text>
    </comment>
    <comment ref="J21" authorId="0" shapeId="0" xr:uid="{037543B0-D132-453F-9471-A80E32284334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G25" authorId="0" shapeId="0" xr:uid="{F5965F23-C139-47CF-84F8-F129EA4976DA}">
      <text>
        <r>
          <rPr>
            <sz val="9"/>
            <color indexed="10"/>
            <rFont val="ＭＳ Ｐゴシック"/>
            <family val="3"/>
            <charset val="128"/>
          </rPr>
          <t>■以下、入力不可</t>
        </r>
      </text>
    </comment>
    <comment ref="J25" authorId="0" shapeId="0" xr:uid="{CFE7D070-3D65-40EA-B797-214D8CB88987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G26" authorId="0" shapeId="0" xr:uid="{5793C2A1-FBFA-4783-A8C7-64A86840E29F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G27" authorId="0" shapeId="0" xr:uid="{FB1A4FAB-1B76-42CC-8AD3-5A474BC8CB01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G28" authorId="0" shapeId="0" xr:uid="{54FA1B14-7475-4104-87E2-89A34BFA33D1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I31" authorId="0" shapeId="0" xr:uid="{19F9E02E-C04F-4AED-8486-1B47369F0CF7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G33" authorId="0" shapeId="0" xr:uid="{E9236489-60B2-41A4-A9E5-B3E1CD9BE7C7}">
      <text>
        <r>
          <rPr>
            <sz val="9"/>
            <color indexed="81"/>
            <rFont val="ＭＳ Ｐゴシック"/>
            <family val="3"/>
            <charset val="128"/>
          </rPr>
          <t>■入力</t>
        </r>
      </text>
    </comment>
    <comment ref="I33" authorId="0" shapeId="0" xr:uid="{B692597B-4EF7-418C-B023-4502C1F885FA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L53" authorId="0" shapeId="0" xr:uid="{87F8668D-BCF8-4238-9137-7D74E67B70CD}">
      <text>
        <r>
          <rPr>
            <sz val="9"/>
            <color indexed="81"/>
            <rFont val="ＭＳ Ｐゴシック"/>
            <family val="3"/>
            <charset val="128"/>
          </rPr>
          <t>■入力箇所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yuko</author>
  </authors>
  <commentList>
    <comment ref="B3" authorId="0" shapeId="0" xr:uid="{28C12A73-D866-4CE2-B402-8BC304F72C59}">
      <text>
        <r>
          <rPr>
            <sz val="9"/>
            <color indexed="81"/>
            <rFont val="ＭＳ Ｐゴシック"/>
            <family val="3"/>
            <charset val="128"/>
          </rPr>
          <t>■入力箇所</t>
        </r>
      </text>
    </comment>
    <comment ref="O5" authorId="0" shapeId="0" xr:uid="{CF8BB223-77FA-4D46-91A3-6D015D945206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E11" authorId="0" shapeId="0" xr:uid="{E4EFD173-07EA-4B41-85BF-3E6D4628F4BF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J11" authorId="0" shapeId="0" xr:uid="{E2BE835F-B2FF-43E2-86C2-EB01A8501163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O12" authorId="0" shapeId="0" xr:uid="{4D932F92-6D16-4349-A0CB-D405A87B5608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J15" authorId="0" shapeId="0" xr:uid="{18426514-AFA3-4ADA-BCBB-A64AA25848DB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N18" authorId="0" shapeId="0" xr:uid="{1283902B-8C55-4EF9-907E-0062A639C71A}">
      <text>
        <r>
          <rPr>
            <sz val="9"/>
            <color indexed="81"/>
            <rFont val="ＭＳ Ｐゴシック"/>
            <family val="3"/>
            <charset val="128"/>
          </rPr>
          <t>■入力</t>
        </r>
      </text>
    </comment>
    <comment ref="N20" authorId="0" shapeId="0" xr:uid="{4FC65B90-F7F4-491C-86DF-85717A43821D}">
      <text>
        <r>
          <rPr>
            <sz val="9"/>
            <color indexed="81"/>
            <rFont val="ＭＳ Ｐゴシック"/>
            <family val="3"/>
            <charset val="128"/>
          </rPr>
          <t>■入力</t>
        </r>
      </text>
    </comment>
    <comment ref="J21" authorId="0" shapeId="0" xr:uid="{F394D48B-3AB3-4A30-8CC9-4C12B6986F21}">
      <text>
        <r>
          <rPr>
            <sz val="9"/>
            <color indexed="81"/>
            <rFont val="ＭＳ Ｐゴシック"/>
            <family val="3"/>
            <charset val="128"/>
          </rPr>
          <t>■入力不可</t>
        </r>
      </text>
    </comment>
    <comment ref="G25" authorId="0" shapeId="0" xr:uid="{FD5EE535-546A-4D02-8C2A-A198FF8AD684}">
      <text>
        <r>
          <rPr>
            <sz val="9"/>
            <color indexed="10"/>
            <rFont val="ＭＳ Ｐゴシック"/>
            <family val="3"/>
            <charset val="128"/>
          </rPr>
          <t>■以下、入力不可</t>
        </r>
      </text>
    </comment>
    <comment ref="J25" authorId="0" shapeId="0" xr:uid="{2BC9EB92-E067-4560-BCC9-07761112CD56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G26" authorId="0" shapeId="0" xr:uid="{EFDF9E3E-F9C1-4775-8FE9-C13C35BA63EB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G27" authorId="0" shapeId="0" xr:uid="{729186BF-1AD0-4395-BDA2-9B91D05FBC94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G28" authorId="0" shapeId="0" xr:uid="{9DCAC290-98BC-452A-A74A-AE8F3BF3A36A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I31" authorId="0" shapeId="0" xr:uid="{9E9AC2A2-D710-48A3-9D59-1C12EAC7C189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G33" authorId="0" shapeId="0" xr:uid="{E6575F05-1F64-482C-A82A-4980511B520F}">
      <text>
        <r>
          <rPr>
            <sz val="9"/>
            <color indexed="81"/>
            <rFont val="ＭＳ Ｐゴシック"/>
            <family val="3"/>
            <charset val="128"/>
          </rPr>
          <t>■入力</t>
        </r>
      </text>
    </comment>
    <comment ref="I33" authorId="0" shapeId="0" xr:uid="{9FBB15CE-4E9C-4D66-9C6E-F598ACE5162A}">
      <text>
        <r>
          <rPr>
            <sz val="9"/>
            <color indexed="10"/>
            <rFont val="ＭＳ Ｐゴシック"/>
            <family val="3"/>
            <charset val="128"/>
          </rPr>
          <t>■入力不可</t>
        </r>
      </text>
    </comment>
    <comment ref="L53" authorId="0" shapeId="0" xr:uid="{1AD66A1C-0EB4-4492-9FDF-DD1FE0EC0E4E}">
      <text>
        <r>
          <rPr>
            <sz val="9"/>
            <color indexed="81"/>
            <rFont val="ＭＳ Ｐゴシック"/>
            <family val="3"/>
            <charset val="128"/>
          </rPr>
          <t>■入力箇所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<sst xmlns="http://schemas.openxmlformats.org/spreadsheetml/2006/main" count="381" uniqueCount="135">
  <si>
    <t>様</t>
    <rPh sb="0" eb="1">
      <t>サマ</t>
    </rPh>
    <phoneticPr fontId="1"/>
  </si>
  <si>
    <t>年</t>
    <rPh sb="0" eb="1">
      <t>ネン</t>
    </rPh>
    <phoneticPr fontId="1"/>
  </si>
  <si>
    <t>1回目</t>
    <rPh sb="1" eb="3">
      <t>カイメ</t>
    </rPh>
    <phoneticPr fontId="1"/>
  </si>
  <si>
    <t>2回目</t>
    <rPh sb="1" eb="2">
      <t>カイ</t>
    </rPh>
    <rPh sb="2" eb="3">
      <t>メ</t>
    </rPh>
    <phoneticPr fontId="1"/>
  </si>
  <si>
    <t>3回目</t>
    <rPh sb="1" eb="2">
      <t>カイ</t>
    </rPh>
    <rPh sb="2" eb="3">
      <t>メ</t>
    </rPh>
    <phoneticPr fontId="1"/>
  </si>
  <si>
    <t>2回目</t>
    <rPh sb="1" eb="3">
      <t>カイメ</t>
    </rPh>
    <phoneticPr fontId="1"/>
  </si>
  <si>
    <t>時間</t>
    <rPh sb="0" eb="2">
      <t>ジカン</t>
    </rPh>
    <phoneticPr fontId="1"/>
  </si>
  <si>
    <t>金額</t>
    <rPh sb="0" eb="2">
      <t>キンガク</t>
    </rPh>
    <phoneticPr fontId="1"/>
  </si>
  <si>
    <t>計</t>
    <rPh sb="0" eb="1">
      <t>ケイ</t>
    </rPh>
    <phoneticPr fontId="1"/>
  </si>
  <si>
    <t>合計</t>
    <rPh sb="0" eb="2">
      <t>ゴウケイ</t>
    </rPh>
    <phoneticPr fontId="1"/>
  </si>
  <si>
    <t>ご主人様</t>
    <rPh sb="1" eb="3">
      <t>シュジン</t>
    </rPh>
    <rPh sb="3" eb="4">
      <t>サマ</t>
    </rPh>
    <phoneticPr fontId="1"/>
  </si>
  <si>
    <t>印</t>
    <rPh sb="0" eb="1">
      <t>イン</t>
    </rPh>
    <phoneticPr fontId="1"/>
  </si>
  <si>
    <t>〔御振込先銀行〕</t>
    <rPh sb="1" eb="2">
      <t>オン</t>
    </rPh>
    <rPh sb="2" eb="4">
      <t>フリコミ</t>
    </rPh>
    <rPh sb="4" eb="5">
      <t>サキ</t>
    </rPh>
    <rPh sb="5" eb="7">
      <t>ギンコウ</t>
    </rPh>
    <phoneticPr fontId="1"/>
  </si>
  <si>
    <t>報酬金額＝施術料×０．９</t>
    <rPh sb="0" eb="2">
      <t>ホウシュウ</t>
    </rPh>
    <rPh sb="2" eb="4">
      <t>キンガク</t>
    </rPh>
    <rPh sb="5" eb="7">
      <t>セジュツ</t>
    </rPh>
    <rPh sb="7" eb="8">
      <t>リョウ</t>
    </rPh>
    <phoneticPr fontId="1"/>
  </si>
  <si>
    <t>30分以下</t>
    <rPh sb="2" eb="3">
      <t>プン</t>
    </rPh>
    <rPh sb="3" eb="5">
      <t>イカ</t>
    </rPh>
    <phoneticPr fontId="1"/>
  </si>
  <si>
    <t>報酬金額＝施術料-1000×施術回数</t>
    <rPh sb="0" eb="2">
      <t>ホウシュウ</t>
    </rPh>
    <rPh sb="2" eb="4">
      <t>キンガク</t>
    </rPh>
    <rPh sb="5" eb="7">
      <t>セジュツ</t>
    </rPh>
    <rPh sb="7" eb="8">
      <t>リョウ</t>
    </rPh>
    <rPh sb="14" eb="16">
      <t>セジュツ</t>
    </rPh>
    <rPh sb="16" eb="18">
      <t>カイスウ</t>
    </rPh>
    <phoneticPr fontId="1"/>
  </si>
  <si>
    <t>31分以上</t>
    <rPh sb="2" eb="5">
      <t>フンイジョウ</t>
    </rPh>
    <phoneticPr fontId="1"/>
  </si>
  <si>
    <t>報酬金額</t>
    <phoneticPr fontId="1"/>
  </si>
  <si>
    <t>施術料</t>
    <rPh sb="0" eb="2">
      <t>セジュツ</t>
    </rPh>
    <rPh sb="2" eb="3">
      <t>リョウ</t>
    </rPh>
    <phoneticPr fontId="1"/>
  </si>
  <si>
    <t>施術回数</t>
    <rPh sb="0" eb="2">
      <t>セジュツ</t>
    </rPh>
    <rPh sb="2" eb="4">
      <t>カイスウ</t>
    </rPh>
    <phoneticPr fontId="1"/>
  </si>
  <si>
    <t>往療距離</t>
    <rPh sb="0" eb="1">
      <t>オウ</t>
    </rPh>
    <rPh sb="1" eb="2">
      <t>リョウ</t>
    </rPh>
    <rPh sb="2" eb="4">
      <t>キョリ</t>
    </rPh>
    <phoneticPr fontId="1"/>
  </si>
  <si>
    <t>部位数</t>
    <rPh sb="0" eb="2">
      <t>ブイ</t>
    </rPh>
    <rPh sb="2" eb="3">
      <t>スウ</t>
    </rPh>
    <phoneticPr fontId="1"/>
  </si>
  <si>
    <t>患者名</t>
    <rPh sb="0" eb="2">
      <t>カンジャ</t>
    </rPh>
    <rPh sb="2" eb="3">
      <t>メイ</t>
    </rPh>
    <phoneticPr fontId="1"/>
  </si>
  <si>
    <t>[　内訳　]</t>
    <rPh sb="2" eb="4">
      <t>ウチワケ</t>
    </rPh>
    <phoneticPr fontId="1"/>
  </si>
  <si>
    <t>当月請求額</t>
    <rPh sb="0" eb="2">
      <t>トウゲツ</t>
    </rPh>
    <rPh sb="2" eb="4">
      <t>セイキュウ</t>
    </rPh>
    <rPh sb="4" eb="5">
      <t>ガク</t>
    </rPh>
    <phoneticPr fontId="1"/>
  </si>
  <si>
    <t>下記のとおり業務に対し、御請求申し上げます。</t>
    <rPh sb="0" eb="2">
      <t>カキ</t>
    </rPh>
    <rPh sb="6" eb="8">
      <t>ギョウム</t>
    </rPh>
    <rPh sb="9" eb="10">
      <t>タイ</t>
    </rPh>
    <rPh sb="12" eb="13">
      <t>オン</t>
    </rPh>
    <rPh sb="13" eb="15">
      <t>セイキュウ</t>
    </rPh>
    <rPh sb="15" eb="16">
      <t>モウ</t>
    </rPh>
    <rPh sb="17" eb="18">
      <t>ア</t>
    </rPh>
    <phoneticPr fontId="1"/>
  </si>
  <si>
    <t xml:space="preserve">  電話</t>
    <rPh sb="2" eb="4">
      <t>デンワ</t>
    </rPh>
    <phoneticPr fontId="1"/>
  </si>
  <si>
    <t>平成　　年　　月　　日</t>
    <rPh sb="0" eb="2">
      <t>ヘイセイ</t>
    </rPh>
    <rPh sb="4" eb="5">
      <t>ネン</t>
    </rPh>
    <rPh sb="7" eb="8">
      <t>ガツ</t>
    </rPh>
    <rPh sb="10" eb="11">
      <t>ニチ</t>
    </rPh>
    <phoneticPr fontId="1"/>
  </si>
  <si>
    <t>月分</t>
    <rPh sb="0" eb="1">
      <t>ガツ</t>
    </rPh>
    <rPh sb="1" eb="2">
      <t>ブン</t>
    </rPh>
    <phoneticPr fontId="1"/>
  </si>
  <si>
    <t>施術時間</t>
    <rPh sb="0" eb="2">
      <t>セジュツ</t>
    </rPh>
    <rPh sb="2" eb="4">
      <t>ジカン</t>
    </rPh>
    <phoneticPr fontId="1"/>
  </si>
  <si>
    <t>施術分</t>
    <rPh sb="0" eb="2">
      <t>セジュツ</t>
    </rPh>
    <rPh sb="2" eb="3">
      <t>ブン</t>
    </rPh>
    <phoneticPr fontId="1"/>
  </si>
  <si>
    <t>施術料内訳書</t>
    <rPh sb="0" eb="2">
      <t>セジュツ</t>
    </rPh>
    <rPh sb="2" eb="3">
      <t>リョウ</t>
    </rPh>
    <rPh sb="3" eb="5">
      <t>ウチワケ</t>
    </rPh>
    <rPh sb="5" eb="6">
      <t>ショ</t>
    </rPh>
    <phoneticPr fontId="1"/>
  </si>
  <si>
    <t>患者名：</t>
    <rPh sb="0" eb="2">
      <t>カンジャ</t>
    </rPh>
    <rPh sb="2" eb="3">
      <t>メイ</t>
    </rPh>
    <phoneticPr fontId="1"/>
  </si>
  <si>
    <t>請求額</t>
    <rPh sb="0" eb="2">
      <t>セイキュウ</t>
    </rPh>
    <rPh sb="2" eb="3">
      <t>ガク</t>
    </rPh>
    <phoneticPr fontId="1"/>
  </si>
  <si>
    <t>住所：</t>
    <rPh sb="0" eb="2">
      <t>ジュウショ</t>
    </rPh>
    <phoneticPr fontId="1"/>
  </si>
  <si>
    <t>施術日数合計</t>
    <rPh sb="0" eb="2">
      <t>セジュツ</t>
    </rPh>
    <rPh sb="2" eb="4">
      <t>ニッスウ</t>
    </rPh>
    <rPh sb="4" eb="6">
      <t>ゴウケイ</t>
    </rPh>
    <phoneticPr fontId="1"/>
  </si>
  <si>
    <t>１回目</t>
    <rPh sb="1" eb="3">
      <t>カイメ</t>
    </rPh>
    <phoneticPr fontId="1"/>
  </si>
  <si>
    <t>２回目</t>
    <rPh sb="1" eb="3">
      <t>カイメ</t>
    </rPh>
    <phoneticPr fontId="1"/>
  </si>
  <si>
    <t>３回目</t>
    <rPh sb="1" eb="3">
      <t>カイメ</t>
    </rPh>
    <phoneticPr fontId="1"/>
  </si>
  <si>
    <t>4回目</t>
    <rPh sb="1" eb="3">
      <t>カイメ</t>
    </rPh>
    <phoneticPr fontId="1"/>
  </si>
  <si>
    <t>日付</t>
    <rPh sb="0" eb="2">
      <t>ヒヅケ</t>
    </rPh>
    <phoneticPr fontId="1"/>
  </si>
  <si>
    <t>担当</t>
    <rPh sb="0" eb="2">
      <t>タントウ</t>
    </rPh>
    <phoneticPr fontId="1"/>
  </si>
  <si>
    <t>金額</t>
    <rPh sb="0" eb="1">
      <t>キン</t>
    </rPh>
    <rPh sb="1" eb="2">
      <t>ガク</t>
    </rPh>
    <phoneticPr fontId="1"/>
  </si>
  <si>
    <t>和田</t>
    <rPh sb="0" eb="2">
      <t>ワダ</t>
    </rPh>
    <phoneticPr fontId="1"/>
  </si>
  <si>
    <t>備考</t>
    <rPh sb="0" eb="2">
      <t>ビコウ</t>
    </rPh>
    <phoneticPr fontId="1"/>
  </si>
  <si>
    <t>月</t>
    <rPh sb="0" eb="1">
      <t>ゲツ</t>
    </rPh>
    <phoneticPr fontId="1"/>
  </si>
  <si>
    <t>火</t>
    <rPh sb="0" eb="1">
      <t>カ</t>
    </rPh>
    <phoneticPr fontId="1"/>
  </si>
  <si>
    <t>水</t>
    <rPh sb="0" eb="1">
      <t>スイ</t>
    </rPh>
    <phoneticPr fontId="1"/>
  </si>
  <si>
    <t>木</t>
    <rPh sb="0" eb="1">
      <t>モク</t>
    </rPh>
    <phoneticPr fontId="1"/>
  </si>
  <si>
    <t>金</t>
    <rPh sb="0" eb="1">
      <t>キン</t>
    </rPh>
    <phoneticPr fontId="1"/>
  </si>
  <si>
    <t>土</t>
    <rPh sb="0" eb="1">
      <t>ド</t>
    </rPh>
    <phoneticPr fontId="1"/>
  </si>
  <si>
    <t>日</t>
    <rPh sb="0" eb="1">
      <t>ニチ</t>
    </rPh>
    <phoneticPr fontId="1"/>
  </si>
  <si>
    <t>スケジュール</t>
    <phoneticPr fontId="1"/>
  </si>
  <si>
    <t>１回目</t>
    <rPh sb="1" eb="2">
      <t>カイ</t>
    </rPh>
    <rPh sb="2" eb="3">
      <t>メ</t>
    </rPh>
    <phoneticPr fontId="1"/>
  </si>
  <si>
    <t>和田</t>
  </si>
  <si>
    <t/>
  </si>
  <si>
    <t>廣澤</t>
  </si>
  <si>
    <t>廣澤</t>
    <phoneticPr fontId="1"/>
  </si>
  <si>
    <t>月分</t>
    <phoneticPr fontId="1"/>
  </si>
  <si>
    <t>１回目</t>
    <rPh sb="1" eb="3">
      <t>カイメ</t>
    </rPh>
    <phoneticPr fontId="1"/>
  </si>
  <si>
    <t>名前</t>
    <rPh sb="0" eb="2">
      <t>ナマエ</t>
    </rPh>
    <phoneticPr fontId="1"/>
  </si>
  <si>
    <t>時間</t>
    <rPh sb="0" eb="2">
      <t>ジカン</t>
    </rPh>
    <phoneticPr fontId="1"/>
  </si>
  <si>
    <t>２回目</t>
    <rPh sb="1" eb="3">
      <t>カイメ</t>
    </rPh>
    <phoneticPr fontId="1"/>
  </si>
  <si>
    <t>３回目</t>
    <rPh sb="1" eb="3">
      <t>カイメ</t>
    </rPh>
    <phoneticPr fontId="1"/>
  </si>
  <si>
    <t>合計</t>
    <rPh sb="0" eb="2">
      <t>ゴウケイ</t>
    </rPh>
    <phoneticPr fontId="1"/>
  </si>
  <si>
    <t>マッサージZERO</t>
    <phoneticPr fontId="1"/>
  </si>
  <si>
    <t>御中</t>
    <rPh sb="0" eb="2">
      <t>オンチュウ</t>
    </rPh>
    <phoneticPr fontId="1"/>
  </si>
  <si>
    <t>福岡マッサージサービス</t>
    <rPh sb="1" eb="2">
      <t>オカ</t>
    </rPh>
    <phoneticPr fontId="1"/>
  </si>
  <si>
    <t>切手,封筒代</t>
    <rPh sb="0" eb="2">
      <t>キッテ</t>
    </rPh>
    <rPh sb="3" eb="5">
      <t>フウトウ</t>
    </rPh>
    <rPh sb="5" eb="6">
      <t>ダイ</t>
    </rPh>
    <phoneticPr fontId="1"/>
  </si>
  <si>
    <t>駐車場代600円</t>
    <rPh sb="0" eb="3">
      <t>チュウシャジョウ</t>
    </rPh>
    <rPh sb="3" eb="4">
      <t>ダイ</t>
    </rPh>
    <rPh sb="7" eb="8">
      <t>エン</t>
    </rPh>
    <phoneticPr fontId="1"/>
  </si>
  <si>
    <t>駐車場代400円</t>
    <rPh sb="0" eb="3">
      <t>チュウシャジョウ</t>
    </rPh>
    <rPh sb="3" eb="4">
      <t>ダイ</t>
    </rPh>
    <rPh sb="7" eb="8">
      <t>エン</t>
    </rPh>
    <phoneticPr fontId="1"/>
  </si>
  <si>
    <t>報酬金額＝施術料×1．0</t>
    <rPh sb="0" eb="2">
      <t>ホウシュウ</t>
    </rPh>
    <rPh sb="2" eb="4">
      <t>キンガク</t>
    </rPh>
    <rPh sb="5" eb="7">
      <t>セジュツ</t>
    </rPh>
    <rPh sb="7" eb="8">
      <t>リョウ</t>
    </rPh>
    <phoneticPr fontId="1"/>
  </si>
  <si>
    <t>　　　　銀行     　支店　普通</t>
    <rPh sb="4" eb="6">
      <t>ギンコウ</t>
    </rPh>
    <rPh sb="12" eb="14">
      <t>シテン</t>
    </rPh>
    <rPh sb="15" eb="17">
      <t>フツウ</t>
    </rPh>
    <phoneticPr fontId="1"/>
  </si>
  <si>
    <t>　〔　  月分〕</t>
    <rPh sb="5" eb="6">
      <t>ガツ</t>
    </rPh>
    <rPh sb="6" eb="7">
      <t>ブン</t>
    </rPh>
    <phoneticPr fontId="1"/>
  </si>
  <si>
    <t>村上</t>
    <rPh sb="0" eb="2">
      <t>ムラカミ</t>
    </rPh>
    <phoneticPr fontId="1"/>
  </si>
  <si>
    <t>あんま・マッサージ施術　領収書</t>
  </si>
  <si>
    <t>（生年月日：</t>
    <phoneticPr fontId="1"/>
  </si>
  <si>
    <t>）</t>
    <phoneticPr fontId="1"/>
  </si>
  <si>
    <t>料金合計</t>
    <rPh sb="0" eb="2">
      <t>リョウキン</t>
    </rPh>
    <rPh sb="2" eb="4">
      <t>ゴウケイ</t>
    </rPh>
    <phoneticPr fontId="1"/>
  </si>
  <si>
    <t>円</t>
    <rPh sb="0" eb="1">
      <t>エン</t>
    </rPh>
    <phoneticPr fontId="1"/>
  </si>
  <si>
    <t>領収データ蓄積用</t>
    <rPh sb="0" eb="2">
      <t>リョウシュウ</t>
    </rPh>
    <rPh sb="5" eb="8">
      <t>チクセキヨウ</t>
    </rPh>
    <phoneticPr fontId="1"/>
  </si>
  <si>
    <t>領収明細書</t>
    <rPh sb="0" eb="2">
      <t>リョウシュウ</t>
    </rPh>
    <rPh sb="2" eb="5">
      <t>メイサイショ</t>
    </rPh>
    <phoneticPr fontId="1"/>
  </si>
  <si>
    <t>年月</t>
    <rPh sb="0" eb="2">
      <t>ネンゲツ</t>
    </rPh>
    <phoneticPr fontId="1"/>
  </si>
  <si>
    <t>患者様名</t>
    <rPh sb="0" eb="3">
      <t>カンジャサマ</t>
    </rPh>
    <rPh sb="3" eb="4">
      <t>メイ</t>
    </rPh>
    <phoneticPr fontId="1"/>
  </si>
  <si>
    <t>領収金額</t>
    <rPh sb="0" eb="2">
      <t>リョウシュウ</t>
    </rPh>
    <rPh sb="2" eb="4">
      <t>キンガク</t>
    </rPh>
    <phoneticPr fontId="1"/>
  </si>
  <si>
    <t>施術内容</t>
    <rPh sb="0" eb="2">
      <t>セジュツ</t>
    </rPh>
    <rPh sb="2" eb="4">
      <t>ナイヨウ</t>
    </rPh>
    <phoneticPr fontId="1"/>
  </si>
  <si>
    <t>回数</t>
    <rPh sb="0" eb="2">
      <t>カイスウ</t>
    </rPh>
    <phoneticPr fontId="1"/>
  </si>
  <si>
    <t>料金小計</t>
    <rPh sb="0" eb="2">
      <t>リョウキン</t>
    </rPh>
    <rPh sb="2" eb="4">
      <t>ショウケイ</t>
    </rPh>
    <phoneticPr fontId="1"/>
  </si>
  <si>
    <t>摘要</t>
    <rPh sb="0" eb="2">
      <t>テキヨウ</t>
    </rPh>
    <phoneticPr fontId="1"/>
  </si>
  <si>
    <t>月</t>
    <rPh sb="0" eb="1">
      <t>ツキ</t>
    </rPh>
    <phoneticPr fontId="1"/>
  </si>
  <si>
    <t>マッサージ施術（保険分）</t>
    <rPh sb="5" eb="7">
      <t>セジュツ</t>
    </rPh>
    <rPh sb="8" eb="10">
      <t>ホケン</t>
    </rPh>
    <rPh sb="10" eb="11">
      <t>ブン</t>
    </rPh>
    <phoneticPr fontId="1"/>
  </si>
  <si>
    <t>●マッサージ</t>
    <phoneticPr fontId="1"/>
  </si>
  <si>
    <t>　　上記、正に領収いたしました。</t>
    <rPh sb="2" eb="4">
      <t>ジョウキ</t>
    </rPh>
    <rPh sb="5" eb="6">
      <t>マサ</t>
    </rPh>
    <rPh sb="7" eb="9">
      <t>リョウシュウ</t>
    </rPh>
    <phoneticPr fontId="1"/>
  </si>
  <si>
    <t>局所</t>
    <rPh sb="0" eb="2">
      <t>キョクショ</t>
    </rPh>
    <phoneticPr fontId="1"/>
  </si>
  <si>
    <t>■検算</t>
    <phoneticPr fontId="1"/>
  </si>
  <si>
    <t>合計金額（a）</t>
    <phoneticPr fontId="1"/>
  </si>
  <si>
    <t>往療料合計（b）</t>
    <phoneticPr fontId="1"/>
  </si>
  <si>
    <t>施術料（a-b）</t>
    <phoneticPr fontId="1"/>
  </si>
  <si>
    <t>●変形徒手矯正術</t>
    <rPh sb="1" eb="3">
      <t>ヘンケイ</t>
    </rPh>
    <rPh sb="3" eb="5">
      <t>トシュ</t>
    </rPh>
    <rPh sb="5" eb="7">
      <t>キョウセイ</t>
    </rPh>
    <rPh sb="7" eb="8">
      <t>ジュツ</t>
    </rPh>
    <phoneticPr fontId="1"/>
  </si>
  <si>
    <t>♯SUM(I31)</t>
  </si>
  <si>
    <t>♯SUM(J25)</t>
  </si>
  <si>
    <t>♯SUM(U19)-V19</t>
  </si>
  <si>
    <t>肢</t>
    <rPh sb="0" eb="1">
      <t>アシ</t>
    </rPh>
    <phoneticPr fontId="1"/>
  </si>
  <si>
    <t>■ドロップダウンリスト</t>
    <phoneticPr fontId="1"/>
  </si>
  <si>
    <t>あんま・マッサージ施術　領収書</t>
    <phoneticPr fontId="1"/>
  </si>
  <si>
    <t>あんま・マッサージ施術　請求書</t>
    <phoneticPr fontId="1"/>
  </si>
  <si>
    <t>●往療料内訳</t>
    <rPh sb="1" eb="2">
      <t>オウ</t>
    </rPh>
    <rPh sb="2" eb="3">
      <t>リョウ</t>
    </rPh>
    <rPh sb="3" eb="4">
      <t>リョウ</t>
    </rPh>
    <rPh sb="4" eb="6">
      <t>ウチワケ</t>
    </rPh>
    <phoneticPr fontId="1"/>
  </si>
  <si>
    <t>①</t>
    <phoneticPr fontId="1"/>
  </si>
  <si>
    <t>2㎞以内</t>
    <rPh sb="2" eb="4">
      <t>イナイ</t>
    </rPh>
    <phoneticPr fontId="1"/>
  </si>
  <si>
    <t>：2,300円</t>
    <rPh sb="6" eb="7">
      <t>エン</t>
    </rPh>
    <phoneticPr fontId="1"/>
  </si>
  <si>
    <t>往療料</t>
    <phoneticPr fontId="1"/>
  </si>
  <si>
    <t>延長分施術費合計</t>
    <rPh sb="0" eb="2">
      <t>エンチョウ</t>
    </rPh>
    <rPh sb="2" eb="3">
      <t>ブン</t>
    </rPh>
    <rPh sb="3" eb="5">
      <t>セジュツ</t>
    </rPh>
    <rPh sb="5" eb="6">
      <t>ヒ</t>
    </rPh>
    <rPh sb="6" eb="8">
      <t>ゴウケイ</t>
    </rPh>
    <phoneticPr fontId="1"/>
  </si>
  <si>
    <t>保険分施術費合計</t>
    <rPh sb="0" eb="2">
      <t>ホケン</t>
    </rPh>
    <rPh sb="2" eb="3">
      <t>ブン</t>
    </rPh>
    <rPh sb="3" eb="5">
      <t>セジュツ</t>
    </rPh>
    <rPh sb="5" eb="6">
      <t>ヒ</t>
    </rPh>
    <rPh sb="6" eb="8">
      <t>ゴウケイ</t>
    </rPh>
    <phoneticPr fontId="1"/>
  </si>
  <si>
    <t>保険分施術費患者様ご負担金額</t>
    <phoneticPr fontId="1"/>
  </si>
  <si>
    <t>割</t>
    <phoneticPr fontId="1"/>
  </si>
  <si>
    <t>施術費合計</t>
    <phoneticPr fontId="1"/>
  </si>
  <si>
    <t>治療日内訳</t>
    <phoneticPr fontId="1"/>
  </si>
  <si>
    <t>治療日：○印</t>
    <rPh sb="0" eb="2">
      <t>チリョウ</t>
    </rPh>
    <rPh sb="2" eb="3">
      <t>ビ</t>
    </rPh>
    <rPh sb="5" eb="6">
      <t>イン</t>
    </rPh>
    <phoneticPr fontId="1"/>
  </si>
  <si>
    <t>往療日：赤字、太文字○印</t>
    <rPh sb="0" eb="1">
      <t>オウ</t>
    </rPh>
    <rPh sb="1" eb="2">
      <t>リョウ</t>
    </rPh>
    <rPh sb="2" eb="3">
      <t>ヒ</t>
    </rPh>
    <rPh sb="11" eb="12">
      <t>イン</t>
    </rPh>
    <phoneticPr fontId="1"/>
  </si>
  <si>
    <t>８１０－００４４</t>
    <phoneticPr fontId="1"/>
  </si>
  <si>
    <t>福岡市中央区六本松2-5-7 高橋ビル303</t>
    <rPh sb="0" eb="9">
      <t>フクオカシチュウオウクロッポンマツ</t>
    </rPh>
    <rPh sb="15" eb="17">
      <t>タカハシ</t>
    </rPh>
    <phoneticPr fontId="1"/>
  </si>
  <si>
    <t>0120-921-665</t>
    <phoneticPr fontId="1"/>
  </si>
  <si>
    <t>担当者名　　　　松熊　洋司</t>
    <rPh sb="0" eb="2">
      <t>タントウ</t>
    </rPh>
    <rPh sb="2" eb="3">
      <t>シャ</t>
    </rPh>
    <rPh sb="3" eb="4">
      <t>メイ</t>
    </rPh>
    <rPh sb="8" eb="9">
      <t>マツ</t>
    </rPh>
    <rPh sb="9" eb="10">
      <t>クマ</t>
    </rPh>
    <rPh sb="11" eb="13">
      <t>ヨウジ</t>
    </rPh>
    <phoneticPr fontId="1"/>
  </si>
  <si>
    <t>斎藤</t>
  </si>
  <si>
    <t>斎藤</t>
    <phoneticPr fontId="1"/>
  </si>
  <si>
    <t>計算用</t>
    <rPh sb="0" eb="3">
      <t>ケイサンヨウ</t>
    </rPh>
    <phoneticPr fontId="1"/>
  </si>
  <si>
    <t>和田</t>
    <phoneticPr fontId="1"/>
  </si>
  <si>
    <t>保険合計</t>
    <rPh sb="0" eb="2">
      <t>ホケン</t>
    </rPh>
    <rPh sb="2" eb="4">
      <t>ゴウケイ</t>
    </rPh>
    <phoneticPr fontId="1"/>
  </si>
  <si>
    <t>令和4</t>
    <rPh sb="0" eb="2">
      <t>レイワ</t>
    </rPh>
    <phoneticPr fontId="1"/>
  </si>
  <si>
    <t>村上</t>
  </si>
  <si>
    <t>内山</t>
    <rPh sb="0" eb="2">
      <t>ウチヤマ</t>
    </rPh>
    <phoneticPr fontId="1"/>
  </si>
  <si>
    <t>施術者</t>
    <rPh sb="0" eb="3">
      <t>セジュツシャ</t>
    </rPh>
    <phoneticPr fontId="1"/>
  </si>
  <si>
    <t>村上内山施術分</t>
    <rPh sb="0" eb="2">
      <t>ムラカミ</t>
    </rPh>
    <rPh sb="2" eb="4">
      <t>ウチヤマ</t>
    </rPh>
    <rPh sb="4" eb="6">
      <t>セジュツ</t>
    </rPh>
    <rPh sb="6" eb="7">
      <t>ブン</t>
    </rPh>
    <phoneticPr fontId="1"/>
  </si>
  <si>
    <t>内山施術分</t>
    <rPh sb="0" eb="2">
      <t>ウチヤマ</t>
    </rPh>
    <rPh sb="2" eb="4">
      <t>セジュツ</t>
    </rPh>
    <rPh sb="4" eb="5">
      <t>ブン</t>
    </rPh>
    <phoneticPr fontId="1"/>
  </si>
  <si>
    <t>内山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</si>
</sst>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6" formatCode="&quot;¥&quot;#,##0;[Red]&quot;¥&quot;\-#,##0"/>
    <numFmt numFmtId="176" formatCode="d"/>
    <numFmt numFmtId="177" formatCode="&quot;¥&quot;#,##0_);[Red]\(&quot;¥&quot;#,##0\)"/>
    <numFmt numFmtId="178" formatCode="#,##0.0;[Red]\-#,##0.0"/>
    <numFmt numFmtId="179" formatCode="&quot;（&quot;yyyy&quot;年&quot;m&quot;月分）&quot;"/>
    <numFmt numFmtId="180" formatCode="0_);[Red]\(0\)"/>
    <numFmt numFmtId="181" formatCode="m/d;@"/>
    <numFmt numFmtId="182" formatCode="0.0_);[Red]\(0.0\)"/>
    <numFmt numFmtId="183" formatCode="#"/>
    <numFmt numFmtId="184" formatCode="#,##0_);[Red]\(#,##0\)"/>
    <numFmt numFmtId="185" formatCode="#,##0_ ;[Red]\-#,##0\ "/>
    <numFmt numFmtId="186" formatCode="m&quot;月&quot;"/>
    <numFmt numFmtId="187" formatCode="\(yyyy&quot;年&quot;m&quot;月分&quot;\)"/>
  </numFmts>
  <fonts count="3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color rgb="FF333333"/>
      <name val="メイリオ"/>
      <family val="3"/>
      <charset val="128"/>
    </font>
    <font>
      <sz val="10.5"/>
      <color theme="1"/>
      <name val="ＭＳ Ｐゴシック"/>
      <family val="3"/>
      <charset val="128"/>
      <scheme val="minor"/>
    </font>
    <font>
      <sz val="10.5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rgb="FFFF0000"/>
      <name val="ＭＳ Ｐゴシック"/>
      <family val="3"/>
      <charset val="128"/>
    </font>
    <font>
      <sz val="6"/>
      <color theme="1"/>
      <name val="ＭＳ Ｐ明朝"/>
      <family val="1"/>
      <charset val="128"/>
    </font>
    <font>
      <sz val="18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indexed="8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11"/>
      <color theme="0"/>
      <name val="ＭＳ Ｐ明朝"/>
      <family val="1"/>
      <charset val="128"/>
    </font>
    <font>
      <sz val="9"/>
      <color theme="1"/>
      <name val="ＭＳ Ｐゴシック"/>
      <family val="3"/>
      <charset val="128"/>
      <scheme val="minor"/>
    </font>
    <font>
      <sz val="16"/>
      <color theme="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theme="0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2"/>
      <color theme="4"/>
      <name val="ＭＳ Ｐ明朝"/>
      <family val="1"/>
      <charset val="128"/>
    </font>
    <font>
      <b/>
      <sz val="16"/>
      <color theme="1"/>
      <name val="ＭＳ Ｐ明朝"/>
      <family val="1"/>
      <charset val="128"/>
    </font>
    <font>
      <sz val="9"/>
      <color indexed="10"/>
      <name val="ＭＳ Ｐゴシック"/>
      <family val="3"/>
      <charset val="128"/>
    </font>
    <font>
      <sz val="10"/>
      <color theme="0"/>
      <name val="ＭＳ Ｐ明朝"/>
      <family val="1"/>
      <charset val="128"/>
    </font>
    <font>
      <sz val="8"/>
      <name val="ＭＳ Ｐ明朝"/>
      <family val="1"/>
      <charset val="128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4.9989318521683403E-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6" fontId="5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1" fillId="0" borderId="0">
      <alignment vertical="center"/>
    </xf>
  </cellStyleXfs>
  <cellXfs count="373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Font="1" applyBorder="1" applyAlignment="1">
      <alignment horizontal="center" vertical="center"/>
    </xf>
    <xf numFmtId="56" fontId="0" fillId="0" borderId="5" xfId="0" applyNumberFormat="1" applyBorder="1">
      <alignment vertical="center"/>
    </xf>
    <xf numFmtId="0" fontId="0" fillId="0" borderId="5" xfId="0" applyBorder="1">
      <alignment vertical="center"/>
    </xf>
    <xf numFmtId="56" fontId="0" fillId="3" borderId="5" xfId="0" applyNumberFormat="1" applyFill="1" applyBorder="1">
      <alignment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5" xfId="0" applyFill="1" applyBorder="1">
      <alignment vertical="center"/>
    </xf>
    <xf numFmtId="56" fontId="0" fillId="0" borderId="5" xfId="0" applyNumberForma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0" fillId="0" borderId="10" xfId="0" applyBorder="1">
      <alignment vertical="center"/>
    </xf>
    <xf numFmtId="0" fontId="0" fillId="0" borderId="0" xfId="0" applyBorder="1">
      <alignment vertical="center"/>
    </xf>
    <xf numFmtId="0" fontId="0" fillId="0" borderId="11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38" fontId="0" fillId="0" borderId="0" xfId="1" applyFont="1" applyFill="1" applyBorder="1">
      <alignment vertical="center"/>
    </xf>
    <xf numFmtId="177" fontId="0" fillId="0" borderId="5" xfId="0" applyNumberFormat="1" applyBorder="1">
      <alignment vertical="center"/>
    </xf>
    <xf numFmtId="6" fontId="0" fillId="0" borderId="5" xfId="2" applyFont="1" applyBorder="1">
      <alignment vertical="center"/>
    </xf>
    <xf numFmtId="0" fontId="6" fillId="0" borderId="0" xfId="0" applyFont="1">
      <alignment vertical="center"/>
    </xf>
    <xf numFmtId="0" fontId="0" fillId="4" borderId="5" xfId="0" applyFill="1" applyBorder="1">
      <alignment vertical="center"/>
    </xf>
    <xf numFmtId="0" fontId="7" fillId="5" borderId="5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38" fontId="0" fillId="0" borderId="5" xfId="1" applyFont="1" applyFill="1" applyBorder="1">
      <alignment vertical="center"/>
    </xf>
    <xf numFmtId="178" fontId="0" fillId="0" borderId="5" xfId="1" applyNumberFormat="1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0" fontId="0" fillId="6" borderId="0" xfId="0" applyFill="1">
      <alignment vertical="center"/>
    </xf>
    <xf numFmtId="0" fontId="0" fillId="0" borderId="5" xfId="0" applyBorder="1" applyAlignment="1">
      <alignment horizontal="center" vertical="center"/>
    </xf>
    <xf numFmtId="0" fontId="14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6" fillId="0" borderId="0" xfId="0" applyFont="1" applyFill="1" applyAlignment="1">
      <alignment horizontal="center" vertical="center"/>
    </xf>
    <xf numFmtId="179" fontId="17" fillId="0" borderId="0" xfId="0" applyNumberFormat="1" applyFont="1" applyAlignment="1">
      <alignment horizontal="center"/>
    </xf>
    <xf numFmtId="0" fontId="16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1" xfId="0" applyFont="1" applyFill="1" applyBorder="1">
      <alignment vertical="center"/>
    </xf>
    <xf numFmtId="180" fontId="10" fillId="0" borderId="1" xfId="0" applyNumberFormat="1" applyFont="1" applyFill="1" applyBorder="1" applyAlignment="1">
      <alignment horizontal="center" vertical="center"/>
    </xf>
    <xf numFmtId="180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>
      <alignment vertical="center"/>
    </xf>
    <xf numFmtId="180" fontId="10" fillId="0" borderId="0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>
      <alignment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5" xfId="0" applyFont="1" applyFill="1" applyBorder="1">
      <alignment vertical="center"/>
    </xf>
    <xf numFmtId="0" fontId="14" fillId="0" borderId="0" xfId="0" applyFont="1" applyFill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181" fontId="10" fillId="0" borderId="20" xfId="0" applyNumberFormat="1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38" fontId="10" fillId="0" borderId="9" xfId="1" applyFont="1" applyFill="1" applyBorder="1" applyAlignment="1">
      <alignment horizontal="center" vertical="center"/>
    </xf>
    <xf numFmtId="182" fontId="10" fillId="0" borderId="5" xfId="0" applyNumberFormat="1" applyFont="1" applyFill="1" applyBorder="1">
      <alignment vertical="center"/>
    </xf>
    <xf numFmtId="0" fontId="10" fillId="7" borderId="0" xfId="0" applyFont="1" applyFill="1">
      <alignment vertical="center"/>
    </xf>
    <xf numFmtId="181" fontId="10" fillId="0" borderId="22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38" fontId="10" fillId="0" borderId="23" xfId="1" applyFont="1" applyFill="1" applyBorder="1" applyAlignment="1">
      <alignment horizontal="center" vertical="center"/>
    </xf>
    <xf numFmtId="0" fontId="10" fillId="0" borderId="24" xfId="0" applyFont="1" applyFill="1" applyBorder="1">
      <alignment vertical="center"/>
    </xf>
    <xf numFmtId="0" fontId="10" fillId="0" borderId="25" xfId="0" applyFont="1" applyFill="1" applyBorder="1">
      <alignment vertical="center"/>
    </xf>
    <xf numFmtId="0" fontId="10" fillId="0" borderId="26" xfId="0" applyFont="1" applyFill="1" applyBorder="1">
      <alignment vertical="center"/>
    </xf>
    <xf numFmtId="0" fontId="10" fillId="0" borderId="27" xfId="0" applyFont="1" applyFill="1" applyBorder="1">
      <alignment vertical="center"/>
    </xf>
    <xf numFmtId="0" fontId="10" fillId="0" borderId="28" xfId="0" applyFont="1" applyFill="1" applyBorder="1">
      <alignment vertical="center"/>
    </xf>
    <xf numFmtId="0" fontId="10" fillId="0" borderId="29" xfId="0" applyFont="1" applyFill="1" applyBorder="1">
      <alignment vertical="center"/>
    </xf>
    <xf numFmtId="0" fontId="12" fillId="0" borderId="1" xfId="0" applyFont="1" applyFill="1" applyBorder="1">
      <alignment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38" fontId="10" fillId="0" borderId="30" xfId="1" applyNumberFormat="1" applyFont="1" applyFill="1" applyBorder="1" applyAlignment="1">
      <alignment horizontal="center" vertical="center"/>
    </xf>
    <xf numFmtId="38" fontId="10" fillId="0" borderId="21" xfId="1" applyNumberFormat="1" applyFont="1" applyFill="1" applyBorder="1" applyAlignment="1">
      <alignment horizontal="center" vertical="center"/>
    </xf>
    <xf numFmtId="0" fontId="10" fillId="0" borderId="12" xfId="0" applyNumberFormat="1" applyFont="1" applyFill="1" applyBorder="1">
      <alignment vertical="center"/>
    </xf>
    <xf numFmtId="38" fontId="10" fillId="0" borderId="5" xfId="0" applyNumberFormat="1" applyFont="1" applyFill="1" applyBorder="1" applyAlignment="1">
      <alignment vertical="center"/>
    </xf>
    <xf numFmtId="38" fontId="10" fillId="0" borderId="6" xfId="0" applyNumberFormat="1" applyFont="1" applyFill="1" applyBorder="1" applyAlignment="1">
      <alignment vertical="center"/>
    </xf>
    <xf numFmtId="38" fontId="10" fillId="0" borderId="30" xfId="1" applyNumberFormat="1" applyFont="1" applyFill="1" applyBorder="1" applyAlignment="1">
      <alignment vertical="center"/>
    </xf>
    <xf numFmtId="38" fontId="10" fillId="0" borderId="21" xfId="1" applyNumberFormat="1" applyFont="1" applyFill="1" applyBorder="1" applyAlignment="1">
      <alignment vertical="center"/>
    </xf>
    <xf numFmtId="38" fontId="10" fillId="0" borderId="31" xfId="0" applyNumberFormat="1" applyFont="1" applyFill="1" applyBorder="1" applyAlignment="1">
      <alignment vertical="center"/>
    </xf>
    <xf numFmtId="38" fontId="10" fillId="0" borderId="18" xfId="1" applyNumberFormat="1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0" fillId="3" borderId="0" xfId="0" applyFont="1" applyFill="1">
      <alignment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24" fillId="11" borderId="5" xfId="0" applyFont="1" applyFill="1" applyBorder="1" applyAlignment="1">
      <alignment horizontal="center" vertical="center"/>
    </xf>
    <xf numFmtId="0" fontId="10" fillId="0" borderId="3" xfId="0" applyFont="1" applyFill="1" applyBorder="1">
      <alignment vertical="center"/>
    </xf>
    <xf numFmtId="49" fontId="10" fillId="0" borderId="5" xfId="0" applyNumberFormat="1" applyFont="1" applyFill="1" applyBorder="1" applyAlignment="1">
      <alignment horizontal="center" vertical="center"/>
    </xf>
    <xf numFmtId="49" fontId="10" fillId="0" borderId="9" xfId="1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vertical="center"/>
    </xf>
    <xf numFmtId="177" fontId="10" fillId="0" borderId="31" xfId="0" applyNumberFormat="1" applyFont="1" applyFill="1" applyBorder="1" applyAlignment="1">
      <alignment vertical="center"/>
    </xf>
    <xf numFmtId="177" fontId="10" fillId="0" borderId="21" xfId="1" applyNumberFormat="1" applyFont="1" applyFill="1" applyBorder="1" applyAlignment="1">
      <alignment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8" fillId="0" borderId="13" xfId="0" applyNumberFormat="1" applyFont="1" applyFill="1" applyBorder="1" applyAlignment="1">
      <alignment horizontal="center" vertical="center"/>
    </xf>
    <xf numFmtId="0" fontId="18" fillId="0" borderId="5" xfId="0" applyNumberFormat="1" applyFont="1" applyFill="1" applyBorder="1" applyAlignment="1">
      <alignment horizontal="center" vertical="center"/>
    </xf>
    <xf numFmtId="0" fontId="18" fillId="0" borderId="2" xfId="0" applyNumberFormat="1" applyFont="1" applyFill="1" applyBorder="1" applyAlignment="1">
      <alignment horizontal="center" vertical="center"/>
    </xf>
    <xf numFmtId="0" fontId="18" fillId="0" borderId="23" xfId="0" applyNumberFormat="1" applyFont="1" applyFill="1" applyBorder="1" applyAlignment="1">
      <alignment horizontal="center" vertical="center"/>
    </xf>
    <xf numFmtId="0" fontId="18" fillId="0" borderId="12" xfId="0" applyNumberFormat="1" applyFont="1" applyFill="1" applyBorder="1" applyAlignment="1">
      <alignment horizontal="center" vertical="center"/>
    </xf>
    <xf numFmtId="183" fontId="10" fillId="0" borderId="5" xfId="0" applyNumberFormat="1" applyFont="1" applyFill="1" applyBorder="1" applyAlignment="1">
      <alignment horizontal="center" vertical="center"/>
    </xf>
    <xf numFmtId="183" fontId="10" fillId="0" borderId="5" xfId="0" applyNumberFormat="1" applyFont="1" applyBorder="1" applyAlignment="1">
      <alignment horizontal="center" vertical="center"/>
    </xf>
    <xf numFmtId="183" fontId="10" fillId="0" borderId="6" xfId="0" applyNumberFormat="1" applyFont="1" applyFill="1" applyBorder="1" applyAlignment="1">
      <alignment horizontal="center" vertical="center"/>
    </xf>
    <xf numFmtId="183" fontId="10" fillId="0" borderId="32" xfId="0" applyNumberFormat="1" applyFont="1" applyFill="1" applyBorder="1" applyAlignment="1">
      <alignment horizontal="center" vertical="center"/>
    </xf>
    <xf numFmtId="183" fontId="10" fillId="0" borderId="9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>
      <alignment vertical="center"/>
    </xf>
    <xf numFmtId="183" fontId="10" fillId="0" borderId="33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>
      <alignment vertical="center"/>
    </xf>
    <xf numFmtId="0" fontId="1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38" fontId="0" fillId="0" borderId="5" xfId="1" applyFont="1" applyBorder="1">
      <alignment vertical="center"/>
    </xf>
    <xf numFmtId="178" fontId="0" fillId="0" borderId="5" xfId="1" applyNumberFormat="1" applyFont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38" fontId="0" fillId="0" borderId="5" xfId="1" applyFont="1" applyBorder="1" applyAlignment="1">
      <alignment horizontal="right" vertical="center"/>
    </xf>
    <xf numFmtId="178" fontId="0" fillId="0" borderId="5" xfId="1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0" fillId="0" borderId="0" xfId="1" applyFont="1" applyBorder="1">
      <alignment vertical="center"/>
    </xf>
    <xf numFmtId="0" fontId="24" fillId="0" borderId="0" xfId="0" applyFont="1" applyFill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28" xfId="0" applyFont="1" applyFill="1" applyBorder="1">
      <alignment vertical="center"/>
    </xf>
    <xf numFmtId="0" fontId="12" fillId="0" borderId="0" xfId="0" applyFo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7" fillId="0" borderId="0" xfId="0" applyFont="1">
      <alignment vertical="center"/>
    </xf>
    <xf numFmtId="0" fontId="26" fillId="0" borderId="0" xfId="0" applyFo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distributed" vertical="center"/>
    </xf>
    <xf numFmtId="0" fontId="17" fillId="0" borderId="1" xfId="0" applyFont="1" applyBorder="1">
      <alignment vertical="center"/>
    </xf>
    <xf numFmtId="49" fontId="26" fillId="0" borderId="1" xfId="0" applyNumberFormat="1" applyFont="1" applyBorder="1">
      <alignment vertical="center"/>
    </xf>
    <xf numFmtId="0" fontId="17" fillId="0" borderId="1" xfId="0" applyFont="1" applyBorder="1" applyAlignment="1">
      <alignment horizontal="center" vertical="center"/>
    </xf>
    <xf numFmtId="38" fontId="26" fillId="0" borderId="0" xfId="1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3" xfId="0" applyFont="1" applyBorder="1">
      <alignment vertical="center"/>
    </xf>
    <xf numFmtId="0" fontId="17" fillId="0" borderId="14" xfId="0" applyFont="1" applyBorder="1">
      <alignment vertical="center"/>
    </xf>
    <xf numFmtId="0" fontId="17" fillId="0" borderId="12" xfId="0" applyFont="1" applyBorder="1">
      <alignment vertical="center"/>
    </xf>
    <xf numFmtId="0" fontId="17" fillId="0" borderId="5" xfId="0" applyFont="1" applyBorder="1" applyAlignment="1">
      <alignment horizontal="center" vertical="center"/>
    </xf>
    <xf numFmtId="0" fontId="28" fillId="0" borderId="2" xfId="0" applyFont="1" applyBorder="1">
      <alignment vertical="center"/>
    </xf>
    <xf numFmtId="0" fontId="28" fillId="0" borderId="3" xfId="0" applyFont="1" applyBorder="1">
      <alignment vertical="center"/>
    </xf>
    <xf numFmtId="0" fontId="28" fillId="0" borderId="4" xfId="0" applyFont="1" applyBorder="1">
      <alignment vertical="center"/>
    </xf>
    <xf numFmtId="55" fontId="17" fillId="0" borderId="5" xfId="0" applyNumberFormat="1" applyFont="1" applyBorder="1" applyAlignment="1">
      <alignment horizontal="center" vertical="center"/>
    </xf>
    <xf numFmtId="49" fontId="17" fillId="0" borderId="5" xfId="0" applyNumberFormat="1" applyFont="1" applyBorder="1" applyAlignment="1">
      <alignment horizontal="center" vertical="center"/>
    </xf>
    <xf numFmtId="38" fontId="17" fillId="0" borderId="5" xfId="0" applyNumberFormat="1" applyFont="1" applyBorder="1" applyAlignment="1">
      <alignment horizontal="center" vertical="center"/>
    </xf>
    <xf numFmtId="0" fontId="17" fillId="0" borderId="11" xfId="0" applyFont="1" applyBorder="1">
      <alignment vertical="center"/>
    </xf>
    <xf numFmtId="0" fontId="17" fillId="0" borderId="10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3" xfId="0" applyFont="1" applyBorder="1">
      <alignment vertical="center"/>
    </xf>
    <xf numFmtId="0" fontId="29" fillId="11" borderId="13" xfId="0" applyFont="1" applyFill="1" applyBorder="1" applyAlignment="1">
      <alignment horizontal="center" vertical="center"/>
    </xf>
    <xf numFmtId="0" fontId="29" fillId="11" borderId="34" xfId="0" applyFont="1" applyFill="1" applyBorder="1" applyAlignment="1">
      <alignment horizontal="center" vertical="center"/>
    </xf>
    <xf numFmtId="0" fontId="29" fillId="11" borderId="12" xfId="0" applyFont="1" applyFill="1" applyBorder="1" applyAlignment="1">
      <alignment horizontal="center" vertical="center"/>
    </xf>
    <xf numFmtId="184" fontId="17" fillId="0" borderId="5" xfId="0" applyNumberFormat="1" applyFont="1" applyBorder="1">
      <alignment vertical="center"/>
    </xf>
    <xf numFmtId="184" fontId="30" fillId="0" borderId="5" xfId="0" applyNumberFormat="1" applyFont="1" applyBorder="1">
      <alignment vertical="center"/>
    </xf>
    <xf numFmtId="0" fontId="17" fillId="0" borderId="7" xfId="0" applyFont="1" applyBorder="1">
      <alignment vertical="center"/>
    </xf>
    <xf numFmtId="0" fontId="17" fillId="0" borderId="8" xfId="0" applyFont="1" applyBorder="1">
      <alignment vertical="center"/>
    </xf>
    <xf numFmtId="0" fontId="10" fillId="0" borderId="11" xfId="0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left" vertical="center"/>
    </xf>
    <xf numFmtId="0" fontId="10" fillId="0" borderId="10" xfId="0" applyFont="1" applyBorder="1">
      <alignment vertical="center"/>
    </xf>
    <xf numFmtId="0" fontId="17" fillId="0" borderId="11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38" fontId="10" fillId="0" borderId="0" xfId="1" applyFont="1" applyFill="1" applyBorder="1" applyAlignment="1">
      <alignment vertical="center"/>
    </xf>
    <xf numFmtId="0" fontId="10" fillId="0" borderId="0" xfId="1" applyNumberFormat="1" applyFont="1" applyFill="1" applyBorder="1" applyAlignment="1">
      <alignment horizontal="left" vertical="center"/>
    </xf>
    <xf numFmtId="0" fontId="17" fillId="0" borderId="2" xfId="0" applyFont="1" applyBorder="1">
      <alignment vertical="center"/>
    </xf>
    <xf numFmtId="0" fontId="17" fillId="0" borderId="4" xfId="0" applyFont="1" applyBorder="1">
      <alignment vertical="center"/>
    </xf>
    <xf numFmtId="0" fontId="30" fillId="0" borderId="1" xfId="0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29" fillId="0" borderId="0" xfId="0" applyFont="1">
      <alignment vertical="center"/>
    </xf>
    <xf numFmtId="0" fontId="36" fillId="11" borderId="0" xfId="0" applyFont="1" applyFill="1" applyAlignment="1">
      <alignment horizontal="center" vertical="center"/>
    </xf>
    <xf numFmtId="183" fontId="10" fillId="0" borderId="5" xfId="0" applyNumberFormat="1" applyFont="1" applyFill="1" applyBorder="1">
      <alignment vertical="center"/>
    </xf>
    <xf numFmtId="183" fontId="10" fillId="0" borderId="0" xfId="0" applyNumberFormat="1" applyFont="1" applyFill="1">
      <alignment vertical="center"/>
    </xf>
    <xf numFmtId="0" fontId="31" fillId="0" borderId="7" xfId="0" applyFont="1" applyBorder="1" applyAlignment="1">
      <alignment horizontal="distributed" vertical="center"/>
    </xf>
    <xf numFmtId="0" fontId="31" fillId="0" borderId="1" xfId="0" applyFont="1" applyBorder="1" applyAlignment="1">
      <alignment horizontal="distributed" vertical="center"/>
    </xf>
    <xf numFmtId="0" fontId="31" fillId="0" borderId="8" xfId="0" applyFont="1" applyBorder="1" applyAlignment="1">
      <alignment horizontal="distributed" vertical="center"/>
    </xf>
    <xf numFmtId="179" fontId="27" fillId="0" borderId="0" xfId="0" applyNumberFormat="1" applyFont="1" applyAlignment="1">
      <alignment horizontal="center" vertical="center"/>
    </xf>
    <xf numFmtId="183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0" fontId="31" fillId="0" borderId="12" xfId="0" applyFont="1" applyBorder="1">
      <alignment vertical="center"/>
    </xf>
    <xf numFmtId="0" fontId="31" fillId="0" borderId="12" xfId="0" applyFont="1" applyBorder="1" applyAlignment="1">
      <alignment vertical="center"/>
    </xf>
    <xf numFmtId="0" fontId="31" fillId="0" borderId="14" xfId="0" applyFont="1" applyBorder="1" applyAlignment="1">
      <alignment horizontal="center" vertical="center"/>
    </xf>
    <xf numFmtId="183" fontId="12" fillId="0" borderId="14" xfId="0" applyNumberFormat="1" applyFont="1" applyBorder="1" applyAlignment="1">
      <alignment horizontal="center" vertical="center"/>
    </xf>
    <xf numFmtId="0" fontId="31" fillId="0" borderId="13" xfId="0" applyFont="1" applyBorder="1" applyAlignment="1">
      <alignment horizontal="distributed" vertical="center"/>
    </xf>
    <xf numFmtId="0" fontId="31" fillId="0" borderId="14" xfId="0" applyFont="1" applyBorder="1" applyAlignment="1">
      <alignment horizontal="distributed" vertical="center"/>
    </xf>
    <xf numFmtId="0" fontId="12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horizontal="distributed" vertical="center"/>
    </xf>
    <xf numFmtId="0" fontId="31" fillId="0" borderId="7" xfId="0" applyFont="1" applyBorder="1" applyAlignment="1">
      <alignment horizontal="distributed" vertical="center"/>
    </xf>
    <xf numFmtId="0" fontId="31" fillId="0" borderId="1" xfId="0" applyFont="1" applyBorder="1" applyAlignment="1">
      <alignment horizontal="distributed" vertical="center"/>
    </xf>
    <xf numFmtId="0" fontId="31" fillId="0" borderId="8" xfId="0" applyFont="1" applyBorder="1" applyAlignment="1">
      <alignment horizontal="distributed" vertical="center"/>
    </xf>
    <xf numFmtId="183" fontId="12" fillId="0" borderId="14" xfId="0" applyNumberFormat="1" applyFont="1" applyBorder="1">
      <alignment vertical="center"/>
    </xf>
    <xf numFmtId="0" fontId="12" fillId="0" borderId="14" xfId="0" applyFont="1" applyBorder="1" applyAlignment="1">
      <alignment vertical="center"/>
    </xf>
    <xf numFmtId="0" fontId="17" fillId="0" borderId="0" xfId="0" applyFont="1" applyBorder="1">
      <alignment vertical="center"/>
    </xf>
    <xf numFmtId="0" fontId="12" fillId="0" borderId="12" xfId="0" applyFont="1" applyBorder="1" applyAlignment="1">
      <alignment vertical="center"/>
    </xf>
    <xf numFmtId="180" fontId="12" fillId="0" borderId="14" xfId="0" applyNumberFormat="1" applyFont="1" applyBorder="1" applyAlignment="1">
      <alignment vertical="center"/>
    </xf>
    <xf numFmtId="38" fontId="17" fillId="0" borderId="5" xfId="0" applyNumberFormat="1" applyFont="1" applyBorder="1">
      <alignment vertical="center"/>
    </xf>
    <xf numFmtId="0" fontId="17" fillId="0" borderId="5" xfId="0" applyFont="1" applyBorder="1">
      <alignment vertical="center"/>
    </xf>
    <xf numFmtId="0" fontId="29" fillId="12" borderId="5" xfId="0" applyFont="1" applyFill="1" applyBorder="1" applyAlignment="1">
      <alignment horizontal="center" vertical="center"/>
    </xf>
    <xf numFmtId="38" fontId="17" fillId="9" borderId="5" xfId="0" applyNumberFormat="1" applyFont="1" applyFill="1" applyBorder="1">
      <alignment vertical="center"/>
    </xf>
    <xf numFmtId="0" fontId="31" fillId="0" borderId="13" xfId="0" applyFont="1" applyBorder="1" applyAlignment="1">
      <alignment vertical="center"/>
    </xf>
    <xf numFmtId="0" fontId="31" fillId="0" borderId="14" xfId="0" applyFont="1" applyBorder="1">
      <alignment vertical="center"/>
    </xf>
    <xf numFmtId="0" fontId="31" fillId="0" borderId="3" xfId="0" applyFont="1" applyBorder="1">
      <alignment vertical="center"/>
    </xf>
    <xf numFmtId="0" fontId="31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>
      <alignment vertical="center"/>
    </xf>
    <xf numFmtId="183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0" fillId="0" borderId="3" xfId="0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6" fontId="9" fillId="0" borderId="13" xfId="0" applyNumberFormat="1" applyFont="1" applyBorder="1" applyAlignment="1">
      <alignment horizontal="right" vertical="center"/>
    </xf>
    <xf numFmtId="0" fontId="9" fillId="0" borderId="14" xfId="0" applyFont="1" applyBorder="1" applyAlignment="1">
      <alignment horizontal="right" vertical="center"/>
    </xf>
    <xf numFmtId="0" fontId="9" fillId="0" borderId="12" xfId="0" applyFont="1" applyBorder="1" applyAlignment="1">
      <alignment horizontal="right" vertical="center"/>
    </xf>
    <xf numFmtId="0" fontId="0" fillId="0" borderId="1" xfId="0" applyBorder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right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4" fillId="0" borderId="0" xfId="0" applyFont="1" applyFill="1" applyBorder="1">
      <alignment vertical="center"/>
    </xf>
    <xf numFmtId="0" fontId="12" fillId="0" borderId="0" xfId="0" applyFont="1" applyFill="1" applyBorder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31" fillId="0" borderId="13" xfId="0" applyFont="1" applyBorder="1" applyAlignment="1">
      <alignment vertical="center" wrapText="1"/>
    </xf>
    <xf numFmtId="0" fontId="31" fillId="0" borderId="14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0" borderId="3" xfId="0" applyFont="1" applyBorder="1" applyAlignment="1">
      <alignment horizontal="distributed" vertical="center"/>
    </xf>
    <xf numFmtId="0" fontId="16" fillId="0" borderId="1" xfId="0" applyFont="1" applyBorder="1" applyAlignment="1">
      <alignment horizontal="distributed" vertical="center"/>
    </xf>
    <xf numFmtId="0" fontId="17" fillId="0" borderId="2" xfId="0" applyNumberFormat="1" applyFont="1" applyBorder="1" applyAlignment="1">
      <alignment horizontal="center" vertical="center"/>
    </xf>
    <xf numFmtId="0" fontId="17" fillId="0" borderId="4" xfId="0" applyNumberFormat="1" applyFont="1" applyBorder="1" applyAlignment="1">
      <alignment horizontal="center" vertical="center"/>
    </xf>
    <xf numFmtId="0" fontId="17" fillId="0" borderId="7" xfId="0" applyNumberFormat="1" applyFont="1" applyBorder="1" applyAlignment="1">
      <alignment horizontal="center" vertical="center"/>
    </xf>
    <xf numFmtId="0" fontId="17" fillId="0" borderId="8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38" fontId="34" fillId="0" borderId="41" xfId="0" applyNumberFormat="1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distributed" vertical="center"/>
    </xf>
    <xf numFmtId="0" fontId="17" fillId="0" borderId="1" xfId="0" applyFont="1" applyBorder="1" applyAlignment="1">
      <alignment horizontal="distributed" vertical="center"/>
    </xf>
    <xf numFmtId="0" fontId="17" fillId="0" borderId="8" xfId="0" applyFont="1" applyBorder="1" applyAlignment="1">
      <alignment horizontal="distributed" vertical="center"/>
    </xf>
    <xf numFmtId="38" fontId="17" fillId="0" borderId="11" xfId="1" applyFont="1" applyBorder="1" applyAlignment="1">
      <alignment horizontal="center" vertical="center"/>
    </xf>
    <xf numFmtId="38" fontId="17" fillId="0" borderId="0" xfId="1" applyFont="1" applyBorder="1" applyAlignment="1">
      <alignment horizontal="center" vertical="center"/>
    </xf>
    <xf numFmtId="38" fontId="17" fillId="0" borderId="10" xfId="1" applyFont="1" applyBorder="1" applyAlignment="1">
      <alignment horizontal="center" vertical="center"/>
    </xf>
    <xf numFmtId="38" fontId="26" fillId="0" borderId="7" xfId="1" applyFont="1" applyBorder="1" applyAlignment="1">
      <alignment horizontal="center" vertical="center"/>
    </xf>
    <xf numFmtId="38" fontId="26" fillId="0" borderId="1" xfId="1" applyFont="1" applyBorder="1" applyAlignment="1">
      <alignment horizontal="center" vertical="center"/>
    </xf>
    <xf numFmtId="38" fontId="26" fillId="0" borderId="8" xfId="1" applyFont="1" applyBorder="1" applyAlignment="1">
      <alignment horizontal="center" vertical="center"/>
    </xf>
    <xf numFmtId="38" fontId="17" fillId="0" borderId="2" xfId="1" applyFont="1" applyBorder="1" applyAlignment="1">
      <alignment horizontal="center" vertical="center"/>
    </xf>
    <xf numFmtId="38" fontId="17" fillId="0" borderId="3" xfId="1" applyFont="1" applyBorder="1" applyAlignment="1">
      <alignment horizontal="center" vertical="center"/>
    </xf>
    <xf numFmtId="38" fontId="17" fillId="0" borderId="7" xfId="1" applyFont="1" applyBorder="1" applyAlignment="1">
      <alignment horizontal="center" vertical="center"/>
    </xf>
    <xf numFmtId="38" fontId="17" fillId="0" borderId="1" xfId="1" applyFont="1" applyBorder="1" applyAlignment="1">
      <alignment horizontal="center" vertical="center"/>
    </xf>
    <xf numFmtId="38" fontId="26" fillId="0" borderId="2" xfId="1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4" xfId="1" applyFont="1" applyBorder="1" applyAlignment="1">
      <alignment horizontal="center" vertical="center"/>
    </xf>
    <xf numFmtId="38" fontId="26" fillId="0" borderId="5" xfId="1" applyFont="1" applyFill="1" applyBorder="1" applyAlignment="1">
      <alignment horizontal="center" vertical="center"/>
    </xf>
    <xf numFmtId="38" fontId="26" fillId="0" borderId="6" xfId="1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38" fontId="26" fillId="0" borderId="35" xfId="1" applyFont="1" applyFill="1" applyBorder="1" applyAlignment="1">
      <alignment horizontal="center" vertical="center"/>
    </xf>
    <xf numFmtId="38" fontId="26" fillId="0" borderId="36" xfId="1" applyFont="1" applyFill="1" applyBorder="1" applyAlignment="1">
      <alignment horizontal="center" vertical="center"/>
    </xf>
    <xf numFmtId="38" fontId="26" fillId="0" borderId="37" xfId="1" applyFont="1" applyFill="1" applyBorder="1" applyAlignment="1">
      <alignment horizontal="center" vertical="center"/>
    </xf>
    <xf numFmtId="38" fontId="26" fillId="0" borderId="38" xfId="1" applyFont="1" applyFill="1" applyBorder="1" applyAlignment="1">
      <alignment horizontal="center" vertical="center"/>
    </xf>
    <xf numFmtId="38" fontId="26" fillId="0" borderId="39" xfId="1" applyFont="1" applyFill="1" applyBorder="1" applyAlignment="1">
      <alignment horizontal="center" vertical="center"/>
    </xf>
    <xf numFmtId="38" fontId="26" fillId="0" borderId="40" xfId="1" applyFont="1" applyFill="1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17" fillId="0" borderId="13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38" fontId="17" fillId="0" borderId="8" xfId="1" applyFont="1" applyBorder="1" applyAlignment="1">
      <alignment horizontal="center" vertical="center"/>
    </xf>
    <xf numFmtId="183" fontId="26" fillId="0" borderId="7" xfId="1" applyNumberFormat="1" applyFont="1" applyBorder="1" applyAlignment="1">
      <alignment horizontal="center" vertical="center"/>
    </xf>
    <xf numFmtId="183" fontId="26" fillId="0" borderId="1" xfId="1" applyNumberFormat="1" applyFont="1" applyBorder="1" applyAlignment="1">
      <alignment horizontal="center" vertical="center"/>
    </xf>
    <xf numFmtId="183" fontId="26" fillId="0" borderId="8" xfId="1" applyNumberFormat="1" applyFont="1" applyBorder="1" applyAlignment="1">
      <alignment horizontal="center" vertical="center"/>
    </xf>
    <xf numFmtId="185" fontId="26" fillId="0" borderId="7" xfId="1" applyNumberFormat="1" applyFont="1" applyBorder="1" applyAlignment="1">
      <alignment horizontal="center" vertical="center"/>
    </xf>
    <xf numFmtId="185" fontId="26" fillId="0" borderId="1" xfId="1" applyNumberFormat="1" applyFont="1" applyBorder="1" applyAlignment="1">
      <alignment horizontal="center" vertical="center"/>
    </xf>
    <xf numFmtId="185" fontId="26" fillId="0" borderId="8" xfId="1" applyNumberFormat="1" applyFont="1" applyBorder="1" applyAlignment="1">
      <alignment horizontal="center" vertical="center"/>
    </xf>
    <xf numFmtId="0" fontId="31" fillId="0" borderId="13" xfId="0" applyFont="1" applyBorder="1" applyAlignment="1">
      <alignment horizontal="distributed" vertical="center"/>
    </xf>
    <xf numFmtId="0" fontId="31" fillId="0" borderId="14" xfId="0" applyFont="1" applyBorder="1" applyAlignment="1">
      <alignment horizontal="distributed" vertical="center"/>
    </xf>
    <xf numFmtId="183" fontId="26" fillId="0" borderId="13" xfId="0" applyNumberFormat="1" applyFont="1" applyBorder="1" applyAlignment="1">
      <alignment horizontal="center" vertical="center"/>
    </xf>
    <xf numFmtId="183" fontId="26" fillId="0" borderId="12" xfId="0" applyNumberFormat="1" applyFont="1" applyBorder="1" applyAlignment="1">
      <alignment horizontal="center" vertical="center"/>
    </xf>
    <xf numFmtId="183" fontId="26" fillId="0" borderId="2" xfId="1" applyNumberFormat="1" applyFont="1" applyBorder="1" applyAlignment="1">
      <alignment horizontal="center" vertical="center"/>
    </xf>
    <xf numFmtId="183" fontId="26" fillId="0" borderId="3" xfId="1" applyNumberFormat="1" applyFont="1" applyBorder="1" applyAlignment="1">
      <alignment horizontal="center" vertical="center"/>
    </xf>
    <xf numFmtId="183" fontId="26" fillId="0" borderId="4" xfId="1" applyNumberFormat="1" applyFont="1" applyBorder="1" applyAlignment="1">
      <alignment horizontal="center" vertical="center"/>
    </xf>
    <xf numFmtId="183" fontId="26" fillId="0" borderId="7" xfId="0" applyNumberFormat="1" applyFont="1" applyBorder="1" applyAlignment="1">
      <alignment horizontal="center" vertical="center"/>
    </xf>
    <xf numFmtId="183" fontId="26" fillId="0" borderId="8" xfId="0" applyNumberFormat="1" applyFont="1" applyBorder="1" applyAlignment="1">
      <alignment horizontal="center" vertical="center"/>
    </xf>
    <xf numFmtId="183" fontId="17" fillId="0" borderId="13" xfId="0" applyNumberFormat="1" applyFont="1" applyBorder="1" applyAlignment="1">
      <alignment horizontal="center" vertical="center" wrapText="1"/>
    </xf>
    <xf numFmtId="183" fontId="17" fillId="0" borderId="12" xfId="0" applyNumberFormat="1" applyFont="1" applyBorder="1" applyAlignment="1">
      <alignment horizontal="center" vertical="center" wrapText="1"/>
    </xf>
    <xf numFmtId="38" fontId="17" fillId="0" borderId="4" xfId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183" fontId="26" fillId="0" borderId="2" xfId="0" applyNumberFormat="1" applyFont="1" applyBorder="1" applyAlignment="1">
      <alignment horizontal="center" vertical="center"/>
    </xf>
    <xf numFmtId="183" fontId="26" fillId="0" borderId="4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distributed" vertical="center"/>
    </xf>
    <xf numFmtId="58" fontId="28" fillId="0" borderId="3" xfId="0" applyNumberFormat="1" applyFont="1" applyBorder="1" applyAlignment="1">
      <alignment horizontal="center" vertical="center"/>
    </xf>
    <xf numFmtId="0" fontId="16" fillId="0" borderId="14" xfId="0" applyFont="1" applyBorder="1" applyAlignment="1">
      <alignment horizontal="distributed" vertical="center"/>
    </xf>
    <xf numFmtId="187" fontId="37" fillId="0" borderId="0" xfId="0" applyNumberFormat="1" applyFont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28" fillId="0" borderId="3" xfId="0" applyFont="1" applyBorder="1" applyAlignment="1">
      <alignment horizontal="distributed" vertical="center"/>
    </xf>
    <xf numFmtId="186" fontId="17" fillId="0" borderId="2" xfId="0" applyNumberFormat="1" applyFont="1" applyBorder="1" applyAlignment="1">
      <alignment horizontal="center" vertical="center"/>
    </xf>
    <xf numFmtId="186" fontId="17" fillId="0" borderId="4" xfId="0" applyNumberFormat="1" applyFont="1" applyBorder="1" applyAlignment="1">
      <alignment horizontal="center" vertical="center"/>
    </xf>
    <xf numFmtId="186" fontId="17" fillId="0" borderId="7" xfId="0" applyNumberFormat="1" applyFont="1" applyBorder="1" applyAlignment="1">
      <alignment horizontal="center" vertical="center"/>
    </xf>
    <xf numFmtId="186" fontId="17" fillId="0" borderId="8" xfId="0" applyNumberFormat="1" applyFont="1" applyBorder="1" applyAlignment="1">
      <alignment horizontal="center" vertical="center"/>
    </xf>
    <xf numFmtId="179" fontId="27" fillId="0" borderId="0" xfId="0" applyNumberFormat="1" applyFont="1" applyAlignment="1">
      <alignment horizontal="center" vertical="center"/>
    </xf>
    <xf numFmtId="0" fontId="0" fillId="8" borderId="1" xfId="0" applyFill="1" applyBorder="1">
      <alignment vertical="center"/>
    </xf>
    <xf numFmtId="0" fontId="0" fillId="10" borderId="5" xfId="0" applyFill="1" applyBorder="1" applyAlignment="1">
      <alignment horizontal="center" vertical="center"/>
    </xf>
    <xf numFmtId="0" fontId="22" fillId="0" borderId="5" xfId="0" applyFont="1" applyBorder="1">
      <alignment vertical="center"/>
    </xf>
    <xf numFmtId="0" fontId="23" fillId="0" borderId="5" xfId="0" applyFont="1" applyBorder="1">
      <alignment vertical="center"/>
    </xf>
    <xf numFmtId="0" fontId="0" fillId="0" borderId="5" xfId="0" applyBorder="1">
      <alignment vertical="center"/>
    </xf>
    <xf numFmtId="0" fontId="0" fillId="9" borderId="13" xfId="0" applyFill="1" applyBorder="1">
      <alignment vertical="center"/>
    </xf>
    <xf numFmtId="0" fontId="0" fillId="9" borderId="12" xfId="0" applyFill="1" applyBorder="1">
      <alignment vertical="center"/>
    </xf>
  </cellXfs>
  <cellStyles count="6">
    <cellStyle name="桁区切り" xfId="1" builtinId="6"/>
    <cellStyle name="通貨" xfId="2" builtinId="7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0</xdr:row>
          <xdr:rowOff>57150</xdr:rowOff>
        </xdr:from>
        <xdr:to>
          <xdr:col>14</xdr:col>
          <xdr:colOff>657225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集計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2</xdr:row>
          <xdr:rowOff>57150</xdr:rowOff>
        </xdr:from>
        <xdr:to>
          <xdr:col>14</xdr:col>
          <xdr:colOff>657225</xdr:colOff>
          <xdr:row>4</xdr:row>
          <xdr:rowOff>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FF0000"/>
                  </a:solidFill>
                  <a:latin typeface="ＭＳ Ｐゴシック"/>
                  <a:ea typeface="ＭＳ Ｐゴシック"/>
                </a:rPr>
                <a:t>初期化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0</xdr:row>
      <xdr:rowOff>1</xdr:rowOff>
    </xdr:from>
    <xdr:to>
      <xdr:col>7</xdr:col>
      <xdr:colOff>207645</xdr:colOff>
      <xdr:row>2</xdr:row>
      <xdr:rowOff>19050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693670" y="1"/>
          <a:ext cx="1171575" cy="400049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</a:rPr>
            <a:t>請　求　書</a:t>
          </a:r>
        </a:p>
      </xdr:txBody>
    </xdr:sp>
    <xdr:clientData/>
  </xdr:twoCellAnchor>
  <xdr:oneCellAnchor>
    <xdr:from>
      <xdr:col>0</xdr:col>
      <xdr:colOff>381000</xdr:colOff>
      <xdr:row>8</xdr:row>
      <xdr:rowOff>133350</xdr:rowOff>
    </xdr:from>
    <xdr:ext cx="1219200" cy="275717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381000" y="1485900"/>
          <a:ext cx="121920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1100">
              <a:latin typeface="+mn-ea"/>
              <a:ea typeface="+mn-ea"/>
            </a:rPr>
            <a:t>[              ]</a:t>
          </a:r>
          <a:endParaRPr kumimoji="1" lang="ja-JP" altLang="en-US" sz="1100">
            <a:latin typeface="+mn-ea"/>
            <a:ea typeface="+mn-ea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0</xdr:row>
      <xdr:rowOff>1</xdr:rowOff>
    </xdr:from>
    <xdr:to>
      <xdr:col>7</xdr:col>
      <xdr:colOff>466725</xdr:colOff>
      <xdr:row>2</xdr:row>
      <xdr:rowOff>19050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914775" y="1"/>
          <a:ext cx="1323975" cy="400049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</a:rPr>
            <a:t>請　求　書</a:t>
          </a:r>
        </a:p>
      </xdr:txBody>
    </xdr:sp>
    <xdr:clientData/>
  </xdr:twoCellAnchor>
  <xdr:oneCellAnchor>
    <xdr:from>
      <xdr:col>0</xdr:col>
      <xdr:colOff>133350</xdr:colOff>
      <xdr:row>11</xdr:row>
      <xdr:rowOff>114300</xdr:rowOff>
    </xdr:from>
    <xdr:ext cx="255198" cy="275717"/>
    <xdr:sp macro="" textlink="スケジュール!A3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33350" y="1949116"/>
          <a:ext cx="255198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510AF64-3A0A-404E-BC17-AF40BAA13499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4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20</xdr:row>
      <xdr:rowOff>38100</xdr:rowOff>
    </xdr:from>
    <xdr:ext cx="325730" cy="275717"/>
    <xdr:sp macro="" textlink="S21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2025817" y="3727784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921BC504-3DA6-488D-963E-261A9FD0A762}" type="TxLink">
            <a:rPr kumimoji="1" lang="ja-JP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分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361950</xdr:colOff>
      <xdr:row>21</xdr:row>
      <xdr:rowOff>38100</xdr:rowOff>
    </xdr:from>
    <xdr:ext cx="227626" cy="275717"/>
    <xdr:sp macro="" textlink="S22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/>
      </xdr:nvSpPr>
      <xdr:spPr>
        <a:xfrm>
          <a:off x="2537661" y="4048626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CA2A4C71-E423-4774-832E-13F8A7C1C9CC}" type="TxLink">
            <a:rPr kumimoji="1" lang="ja-JP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352425</xdr:colOff>
      <xdr:row>22</xdr:row>
      <xdr:rowOff>28575</xdr:rowOff>
    </xdr:from>
    <xdr:ext cx="227626" cy="275717"/>
    <xdr:sp macro="" textlink="S23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/>
      </xdr:nvSpPr>
      <xdr:spPr>
        <a:xfrm>
          <a:off x="2528136" y="4359943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79E6C8C-715E-4DEF-8D9C-B523047C2FB0}" type="TxLink">
            <a:rPr kumimoji="1" lang="ja-JP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358440</xdr:colOff>
      <xdr:row>23</xdr:row>
      <xdr:rowOff>28073</xdr:rowOff>
    </xdr:from>
    <xdr:ext cx="325730" cy="275717"/>
    <xdr:sp macro="" textlink="S24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2012782" y="4680284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2D631D61-8D8B-4DC5-8355-FE0682510CB5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分</a:t>
          </a:fld>
          <a:endParaRPr kumimoji="1" lang="ja-JP" altLang="en-US" sz="1100"/>
        </a:p>
      </xdr:txBody>
    </xdr:sp>
    <xdr:clientData/>
  </xdr:oneCellAnchor>
  <xdr:oneCellAnchor>
    <xdr:from>
      <xdr:col>9</xdr:col>
      <xdr:colOff>147387</xdr:colOff>
      <xdr:row>24</xdr:row>
      <xdr:rowOff>79207</xdr:rowOff>
    </xdr:from>
    <xdr:ext cx="325730" cy="275717"/>
    <xdr:sp macro="" textlink="S25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6764755" y="5052260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81B25B0D-3744-4295-9317-9A2E502A57F6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9</xdr:col>
      <xdr:colOff>170949</xdr:colOff>
      <xdr:row>25</xdr:row>
      <xdr:rowOff>89234</xdr:rowOff>
    </xdr:from>
    <xdr:ext cx="325730" cy="275717"/>
    <xdr:sp macro="" textlink="S26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6788317" y="5383129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6033A485-1FEF-4C9B-9B31-4DB908923243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17</xdr:col>
      <xdr:colOff>231107</xdr:colOff>
      <xdr:row>22</xdr:row>
      <xdr:rowOff>68179</xdr:rowOff>
    </xdr:from>
    <xdr:ext cx="325730" cy="275717"/>
    <xdr:sp macro="" textlink="S24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 txBox="1"/>
      </xdr:nvSpPr>
      <xdr:spPr>
        <a:xfrm>
          <a:off x="12302791" y="4399547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7479F02-0762-44AB-BCD1-065D3974305A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分</a:t>
          </a:fld>
          <a:endParaRPr kumimoji="1" lang="ja-JP" altLang="en-US" sz="1100"/>
        </a:p>
      </xdr:txBody>
    </xdr:sp>
    <xdr:clientData/>
  </xdr:oneCellAnchor>
  <xdr:oneCellAnchor>
    <xdr:from>
      <xdr:col>17</xdr:col>
      <xdr:colOff>110791</xdr:colOff>
      <xdr:row>22</xdr:row>
      <xdr:rowOff>88233</xdr:rowOff>
    </xdr:from>
    <xdr:ext cx="325730" cy="275717"/>
    <xdr:sp macro="" textlink="S25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2182475" y="4419601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37ECF6A5-4BD9-4EB3-A6AE-E49CA3F900C5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17</xdr:col>
      <xdr:colOff>30580</xdr:colOff>
      <xdr:row>22</xdr:row>
      <xdr:rowOff>28074</xdr:rowOff>
    </xdr:from>
    <xdr:ext cx="325730" cy="275717"/>
    <xdr:sp macro="" textlink="S26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2102264" y="4359442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D9DD32B-E73F-4F63-9EB2-29152CC7E208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21</xdr:row>
      <xdr:rowOff>38100</xdr:rowOff>
    </xdr:from>
    <xdr:ext cx="227626" cy="275717"/>
    <xdr:sp macro="" textlink="S22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 txBox="1"/>
      </xdr:nvSpPr>
      <xdr:spPr>
        <a:xfrm>
          <a:off x="2025817" y="4048626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30844F3C-FCC4-4E91-9C32-12D2B833853F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22</xdr:row>
      <xdr:rowOff>38100</xdr:rowOff>
    </xdr:from>
    <xdr:ext cx="227626" cy="275717"/>
    <xdr:sp macro="" textlink="S23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 txBox="1"/>
      </xdr:nvSpPr>
      <xdr:spPr>
        <a:xfrm>
          <a:off x="2025817" y="4369468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EAB79EF4-62DD-42BC-9FD6-C14C9762AACE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17</xdr:col>
      <xdr:colOff>301291</xdr:colOff>
      <xdr:row>22</xdr:row>
      <xdr:rowOff>118312</xdr:rowOff>
    </xdr:from>
    <xdr:ext cx="325730" cy="275717"/>
    <xdr:sp macro="" textlink="S24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12372975" y="4449680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F94C7802-F8E2-4657-8C80-8CD91CFD7172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分</a:t>
          </a:fld>
          <a:endParaRPr kumimoji="1" lang="ja-JP" altLang="en-US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0</xdr:row>
      <xdr:rowOff>1</xdr:rowOff>
    </xdr:from>
    <xdr:to>
      <xdr:col>7</xdr:col>
      <xdr:colOff>466725</xdr:colOff>
      <xdr:row>2</xdr:row>
      <xdr:rowOff>19050</xdr:rowOff>
    </xdr:to>
    <xdr:sp macro="" textlink="">
      <xdr:nvSpPr>
        <xdr:cNvPr id="2" name="角丸四角形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943350" y="1"/>
          <a:ext cx="1323975" cy="400049"/>
        </a:xfrm>
        <a:prstGeom prst="roundRect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kumimoji="1" lang="ja-JP" altLang="en-US" sz="1800">
              <a:solidFill>
                <a:sysClr val="windowText" lastClr="000000"/>
              </a:solidFill>
            </a:rPr>
            <a:t>請　求　書</a:t>
          </a:r>
        </a:p>
      </xdr:txBody>
    </xdr:sp>
    <xdr:clientData/>
  </xdr:twoCellAnchor>
  <xdr:oneCellAnchor>
    <xdr:from>
      <xdr:col>0</xdr:col>
      <xdr:colOff>133350</xdr:colOff>
      <xdr:row>11</xdr:row>
      <xdr:rowOff>114300</xdr:rowOff>
    </xdr:from>
    <xdr:ext cx="255198" cy="275717"/>
    <xdr:sp macro="" textlink="スケジュール!A3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133350" y="1962150"/>
          <a:ext cx="255198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5510AF64-3A0A-404E-BC17-AF40BAA13499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4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20</xdr:row>
      <xdr:rowOff>38100</xdr:rowOff>
    </xdr:from>
    <xdr:ext cx="325730" cy="275717"/>
    <xdr:sp macro="" textlink="S21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2025817" y="3727784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921BC504-3DA6-488D-963E-261A9FD0A762}" type="TxLink">
            <a:rPr kumimoji="1" lang="ja-JP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分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361950</xdr:colOff>
      <xdr:row>21</xdr:row>
      <xdr:rowOff>38100</xdr:rowOff>
    </xdr:from>
    <xdr:ext cx="227626" cy="275717"/>
    <xdr:sp macro="" textlink="S22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2009775" y="4057650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CA2A4C71-E423-4774-832E-13F8A7C1C9CC}" type="TxLink">
            <a:rPr kumimoji="1" lang="ja-JP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352425</xdr:colOff>
      <xdr:row>22</xdr:row>
      <xdr:rowOff>28575</xdr:rowOff>
    </xdr:from>
    <xdr:ext cx="227626" cy="275717"/>
    <xdr:sp macro="" textlink="S23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2000250" y="4371975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79E6C8C-715E-4DEF-8D9C-B523047C2FB0}" type="TxLink">
            <a:rPr kumimoji="1" lang="ja-JP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428625</xdr:colOff>
      <xdr:row>23</xdr:row>
      <xdr:rowOff>38100</xdr:rowOff>
    </xdr:from>
    <xdr:ext cx="227626" cy="275717"/>
    <xdr:sp macro="" textlink="S24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2076450" y="4705350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2D631D61-8D8B-4DC5-8355-FE0682510CB5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438150</xdr:colOff>
      <xdr:row>24</xdr:row>
      <xdr:rowOff>19050</xdr:rowOff>
    </xdr:from>
    <xdr:ext cx="227626" cy="275717"/>
    <xdr:sp macro="" textlink="S25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2085975" y="5010150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81B25B0D-3744-4295-9317-9A2E502A57F6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25</xdr:row>
      <xdr:rowOff>19050</xdr:rowOff>
    </xdr:from>
    <xdr:ext cx="227626" cy="275717"/>
    <xdr:sp macro="" textlink="S26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2019300" y="5334000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6033A485-1FEF-4C9B-9B31-4DB908923243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23</xdr:row>
      <xdr:rowOff>38100</xdr:rowOff>
    </xdr:from>
    <xdr:ext cx="227626" cy="275717"/>
    <xdr:sp macro="" textlink="S24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2019300" y="4705350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7479F02-0762-44AB-BCD1-065D3974305A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24</xdr:row>
      <xdr:rowOff>38100</xdr:rowOff>
    </xdr:from>
    <xdr:ext cx="227626" cy="275717"/>
    <xdr:sp macro="" textlink="S25">
      <xdr:nvSpPr>
        <xdr:cNvPr id="11" name="テキスト ボックス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2019300" y="5029200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37ECF6A5-4BD9-4EB3-A6AE-E49CA3F900C5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25</xdr:row>
      <xdr:rowOff>38100</xdr:rowOff>
    </xdr:from>
    <xdr:ext cx="227626" cy="275717"/>
    <xdr:sp macro="" textlink="S26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2019300" y="5353050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7D9DD32B-E73F-4F63-9EB2-29152CC7E208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21</xdr:row>
      <xdr:rowOff>38100</xdr:rowOff>
    </xdr:from>
    <xdr:ext cx="227626" cy="275717"/>
    <xdr:sp macro="" textlink="S22">
      <xdr:nvSpPr>
        <xdr:cNvPr id="13" name="テキスト ボックス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2025817" y="4048626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8C3B7A1E-A937-4A20-AD7E-F87AFE8E622E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22</xdr:row>
      <xdr:rowOff>38100</xdr:rowOff>
    </xdr:from>
    <xdr:ext cx="227626" cy="275717"/>
    <xdr:sp macro="" textlink="S23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2025817" y="4369468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068DA4E7-083C-4693-8B3D-30E30FE4A72C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23</xdr:row>
      <xdr:rowOff>38100</xdr:rowOff>
    </xdr:from>
    <xdr:ext cx="227626" cy="275717"/>
    <xdr:sp macro="" textlink="S24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 txBox="1"/>
      </xdr:nvSpPr>
      <xdr:spPr>
        <a:xfrm>
          <a:off x="2025817" y="4690311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93F74B65-2598-41F7-B285-D7CC90AB2E35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24</xdr:row>
      <xdr:rowOff>38100</xdr:rowOff>
    </xdr:from>
    <xdr:ext cx="227626" cy="275717"/>
    <xdr:sp macro="" textlink="S25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 txBox="1"/>
      </xdr:nvSpPr>
      <xdr:spPr>
        <a:xfrm>
          <a:off x="2025817" y="5011153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EECFDD76-640E-4302-ACB5-453C0B465113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  <xdr:oneCellAnchor>
    <xdr:from>
      <xdr:col>2</xdr:col>
      <xdr:colOff>371475</xdr:colOff>
      <xdr:row>25</xdr:row>
      <xdr:rowOff>38100</xdr:rowOff>
    </xdr:from>
    <xdr:ext cx="227626" cy="275717"/>
    <xdr:sp macro="" textlink="S26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 txBox="1"/>
      </xdr:nvSpPr>
      <xdr:spPr>
        <a:xfrm>
          <a:off x="2025817" y="5331995"/>
          <a:ext cx="227626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fld id="{84D447D8-2125-4303-9778-F7107E39AE13}" type="TxLink">
            <a:rPr kumimoji="1" lang="en-US" altLang="en-US" sz="1100" b="0" i="0" u="none" strike="noStrike">
              <a:solidFill>
                <a:srgbClr val="000000"/>
              </a:solidFill>
              <a:latin typeface="ＭＳ Ｐゴシック"/>
              <a:ea typeface="ＭＳ Ｐゴシック"/>
            </a:rPr>
            <a:pPr/>
            <a:t> </a:t>
          </a:fld>
          <a:endParaRPr kumimoji="1" lang="ja-JP" altLang="en-US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657225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23</xdr:col>
      <xdr:colOff>381000</xdr:colOff>
      <xdr:row>6</xdr:row>
      <xdr:rowOff>28575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12049125" y="1171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18</xdr:col>
      <xdr:colOff>230936</xdr:colOff>
      <xdr:row>8</xdr:row>
      <xdr:rowOff>257535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8470960" y="1722228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oneCellAnchor>
  <xdr:oneCellAnchor>
    <xdr:from>
      <xdr:col>10</xdr:col>
      <xdr:colOff>320520</xdr:colOff>
      <xdr:row>4</xdr:row>
      <xdr:rowOff>96183</xdr:rowOff>
    </xdr:from>
    <xdr:ext cx="325730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4013955" y="918797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latin typeface="ＭＳ Ｐ明朝" panose="02020600040205080304" pitchFamily="18" charset="-128"/>
              <a:ea typeface="ＭＳ Ｐ明朝" panose="02020600040205080304" pitchFamily="18" charset="-128"/>
            </a:rPr>
            <a:t>回</a:t>
          </a:r>
        </a:p>
      </xdr:txBody>
    </xdr:sp>
    <xdr:clientData/>
  </xdr:oneCellAnchor>
  <xdr:oneCellAnchor>
    <xdr:from>
      <xdr:col>10</xdr:col>
      <xdr:colOff>313060</xdr:colOff>
      <xdr:row>6</xdr:row>
      <xdr:rowOff>86590</xdr:rowOff>
    </xdr:from>
    <xdr:ext cx="325730" cy="275717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4006495" y="1235585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latin typeface="ＭＳ Ｐ明朝" panose="02020600040205080304" pitchFamily="18" charset="-128"/>
              <a:ea typeface="ＭＳ Ｐ明朝" panose="02020600040205080304" pitchFamily="18" charset="-128"/>
            </a:rPr>
            <a:t>日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5</xdr:row>
      <xdr:rowOff>152400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657225" y="1066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7</xdr:col>
      <xdr:colOff>647700</xdr:colOff>
      <xdr:row>3</xdr:row>
      <xdr:rowOff>0</xdr:rowOff>
    </xdr:from>
    <xdr:ext cx="325730" cy="275717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4429125" y="590550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円</a:t>
          </a:r>
        </a:p>
      </xdr:txBody>
    </xdr:sp>
    <xdr:clientData/>
  </xdr:oneCellAnchor>
  <xdr:oneCellAnchor>
    <xdr:from>
      <xdr:col>15</xdr:col>
      <xdr:colOff>428625</xdr:colOff>
      <xdr:row>11</xdr:row>
      <xdr:rowOff>104775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9963150" y="2447925"/>
          <a:ext cx="184731" cy="264560"/>
        </a:xfrm>
        <a:prstGeom prst="rect">
          <a:avLst/>
        </a:prstGeom>
        <a:noFill/>
        <a:ln>
          <a:noFill/>
        </a:ln>
        <a:effectLst/>
      </xdr:spPr>
      <xdr:txBody>
        <a:bodyPr vertOverflow="clip" horzOverflow="clip" wrap="none" rtlCol="0" anchor="t">
          <a:spAutoFit/>
        </a:bodyPr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oneCellAnchor>
  <xdr:oneCellAnchor>
    <xdr:from>
      <xdr:col>7</xdr:col>
      <xdr:colOff>428625</xdr:colOff>
      <xdr:row>4</xdr:row>
      <xdr:rowOff>85725</xdr:rowOff>
    </xdr:from>
    <xdr:ext cx="325730" cy="275717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4210050" y="904875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日</a:t>
          </a:r>
        </a:p>
      </xdr:txBody>
    </xdr:sp>
    <xdr:clientData/>
  </xdr:oneCellAnchor>
  <xdr:oneCellAnchor>
    <xdr:from>
      <xdr:col>7</xdr:col>
      <xdr:colOff>457200</xdr:colOff>
      <xdr:row>6</xdr:row>
      <xdr:rowOff>76200</xdr:rowOff>
    </xdr:from>
    <xdr:ext cx="325730" cy="275717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 txBox="1"/>
      </xdr:nvSpPr>
      <xdr:spPr>
        <a:xfrm>
          <a:off x="4238625" y="1219200"/>
          <a:ext cx="325730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/>
            <a:t>日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285750</xdr:colOff>
      <xdr:row>35</xdr:row>
      <xdr:rowOff>161925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8572500" y="7315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96"/>
  <sheetViews>
    <sheetView zoomScaleNormal="100" workbookViewId="0">
      <selection activeCell="P12" sqref="P12"/>
    </sheetView>
  </sheetViews>
  <sheetFormatPr defaultRowHeight="13.5" x14ac:dyDescent="0.15"/>
  <cols>
    <col min="1" max="1" width="4.5" style="13" customWidth="1"/>
    <col min="2" max="2" width="9.25" bestFit="1" customWidth="1"/>
    <col min="3" max="3" width="3.75" style="13" customWidth="1"/>
    <col min="4" max="4" width="5" customWidth="1"/>
    <col min="6" max="6" width="5" customWidth="1"/>
    <col min="8" max="8" width="5" customWidth="1"/>
    <col min="10" max="10" width="9.25" bestFit="1" customWidth="1"/>
    <col min="11" max="11" width="5" customWidth="1"/>
    <col min="13" max="13" width="5" customWidth="1"/>
    <col min="17" max="22" width="9" style="14"/>
  </cols>
  <sheetData>
    <row r="1" spans="1:20" ht="13.9" customHeight="1" x14ac:dyDescent="0.15">
      <c r="A1" s="245"/>
      <c r="B1" s="245"/>
      <c r="C1" s="245"/>
      <c r="D1" s="245"/>
      <c r="E1" s="245"/>
      <c r="F1" t="s">
        <v>0</v>
      </c>
      <c r="K1" s="246"/>
      <c r="L1" s="246"/>
      <c r="M1" s="246"/>
      <c r="N1" s="246"/>
      <c r="Q1">
        <v>90</v>
      </c>
      <c r="R1" s="51">
        <f>IF(Q1="","",COUNTIF($D$4:$I$34,Q1))</f>
        <v>9</v>
      </c>
      <c r="S1">
        <v>60</v>
      </c>
      <c r="T1" s="51">
        <f>IF(S1="","",COUNTIF($K$4:$N$34,S1))</f>
        <v>15</v>
      </c>
    </row>
    <row r="2" spans="1:20" ht="13.9" customHeight="1" x14ac:dyDescent="0.15">
      <c r="A2" s="1">
        <v>2022</v>
      </c>
      <c r="B2" s="2" t="s">
        <v>1</v>
      </c>
      <c r="C2" s="3"/>
      <c r="D2" s="247" t="s">
        <v>2</v>
      </c>
      <c r="E2" s="247"/>
      <c r="F2" s="247" t="s">
        <v>3</v>
      </c>
      <c r="G2" s="247"/>
      <c r="H2" s="247" t="s">
        <v>4</v>
      </c>
      <c r="I2" s="247"/>
      <c r="J2" s="248"/>
      <c r="K2" s="247" t="s">
        <v>2</v>
      </c>
      <c r="L2" s="247"/>
      <c r="M2" s="247" t="s">
        <v>5</v>
      </c>
      <c r="N2" s="247"/>
      <c r="Q2">
        <v>60</v>
      </c>
      <c r="R2" s="51">
        <f t="shared" ref="R2:R34" si="0">IF(Q2="","",COUNTIF($D$4:$I$34,Q2))</f>
        <v>1</v>
      </c>
      <c r="S2"/>
      <c r="T2" s="51" t="str">
        <f t="shared" ref="T2:T32" si="1">IF(S2="","",COUNTIF($K$4:$N$34,S2))</f>
        <v/>
      </c>
    </row>
    <row r="3" spans="1:20" ht="13.9" customHeight="1" x14ac:dyDescent="0.15">
      <c r="A3" s="4">
        <v>4</v>
      </c>
      <c r="B3" s="5" t="s">
        <v>58</v>
      </c>
      <c r="C3" s="6"/>
      <c r="D3" s="7" t="s">
        <v>6</v>
      </c>
      <c r="E3" s="7" t="s">
        <v>7</v>
      </c>
      <c r="F3" s="7" t="s">
        <v>6</v>
      </c>
      <c r="G3" s="7" t="s">
        <v>7</v>
      </c>
      <c r="H3" s="7" t="s">
        <v>6</v>
      </c>
      <c r="I3" s="7" t="s">
        <v>7</v>
      </c>
      <c r="J3" s="249"/>
      <c r="K3" s="7" t="s">
        <v>6</v>
      </c>
      <c r="L3" s="7" t="s">
        <v>7</v>
      </c>
      <c r="M3" s="7" t="s">
        <v>6</v>
      </c>
      <c r="N3" s="7" t="s">
        <v>7</v>
      </c>
      <c r="Q3"/>
      <c r="R3" s="51" t="str">
        <f t="shared" si="0"/>
        <v/>
      </c>
      <c r="S3"/>
      <c r="T3" s="51" t="str">
        <f t="shared" si="1"/>
        <v/>
      </c>
    </row>
    <row r="4" spans="1:20" ht="13.9" customHeight="1" x14ac:dyDescent="0.15">
      <c r="A4" s="8">
        <f>DATE(A2,A3,1)</f>
        <v>44652</v>
      </c>
      <c r="B4" s="9">
        <f t="shared" ref="B4:B34" si="2">A4</f>
        <v>44652</v>
      </c>
      <c r="C4" s="7" t="str">
        <f>IF(ISERROR(CHOOSE(WEEKDAY(A4,1),"日","月","火","水","木","金","土")),"",CHOOSE(WEEKDAY(A4,1),"日","月","火","水","木","金","土"))</f>
        <v>金</v>
      </c>
      <c r="D4" s="15"/>
      <c r="E4" s="15" t="str">
        <f>IF(D4="","",D4*100)</f>
        <v/>
      </c>
      <c r="F4" s="15"/>
      <c r="G4" s="15" t="str">
        <f>IF(F4="","",F4*100)</f>
        <v/>
      </c>
      <c r="H4" s="15"/>
      <c r="I4" s="15" t="str">
        <f>IF(H4="","",H4*100)</f>
        <v/>
      </c>
      <c r="J4" s="16">
        <f t="shared" ref="J4:J34" si="3">A4</f>
        <v>44652</v>
      </c>
      <c r="K4" s="15">
        <v>60</v>
      </c>
      <c r="L4" s="15">
        <f>IF(K4="","",K4*100)</f>
        <v>6000</v>
      </c>
      <c r="M4" s="15"/>
      <c r="N4" s="10" t="str">
        <f>IF(M4="","",M4*100)</f>
        <v/>
      </c>
      <c r="Q4"/>
      <c r="R4" s="51" t="str">
        <f t="shared" si="0"/>
        <v/>
      </c>
      <c r="S4"/>
      <c r="T4" s="51" t="str">
        <f t="shared" si="1"/>
        <v/>
      </c>
    </row>
    <row r="5" spans="1:20" ht="13.9" customHeight="1" x14ac:dyDescent="0.15">
      <c r="A5" s="8">
        <f>A4+1</f>
        <v>44653</v>
      </c>
      <c r="B5" s="9">
        <f t="shared" si="2"/>
        <v>44653</v>
      </c>
      <c r="C5" s="7" t="str">
        <f t="shared" ref="C5:C34" si="4">IF(ISERROR(CHOOSE(WEEKDAY(A5,1),"日","月","火","水","木","金","土")),"",CHOOSE(WEEKDAY(A5,1),"日","月","火","水","木","金","土"))</f>
        <v>土</v>
      </c>
      <c r="D5" s="15">
        <v>90</v>
      </c>
      <c r="E5" s="15">
        <f>IF(D5="","",D5*100)</f>
        <v>9000</v>
      </c>
      <c r="F5" s="15"/>
      <c r="G5" s="15" t="str">
        <f t="shared" ref="G5:G34" si="5">IF(F5="","",F5*100)</f>
        <v/>
      </c>
      <c r="H5" s="15"/>
      <c r="I5" s="15" t="str">
        <f t="shared" ref="I5:I34" si="6">IF(H5="","",H5*100)</f>
        <v/>
      </c>
      <c r="J5" s="16">
        <f t="shared" si="3"/>
        <v>44653</v>
      </c>
      <c r="K5" s="15"/>
      <c r="L5" s="15" t="str">
        <f t="shared" ref="L5:L34" si="7">IF(K5="","",K5*100)</f>
        <v/>
      </c>
      <c r="M5" s="15"/>
      <c r="N5" s="10" t="str">
        <f t="shared" ref="N5:N34" si="8">IF(M5="","",M5*100)</f>
        <v/>
      </c>
      <c r="Q5"/>
      <c r="R5" s="51" t="str">
        <f t="shared" si="0"/>
        <v/>
      </c>
      <c r="S5"/>
      <c r="T5" s="51" t="str">
        <f t="shared" si="1"/>
        <v/>
      </c>
    </row>
    <row r="6" spans="1:20" ht="13.9" customHeight="1" x14ac:dyDescent="0.15">
      <c r="A6" s="8">
        <f t="shared" ref="A6:A32" si="9">A5+1</f>
        <v>44654</v>
      </c>
      <c r="B6" s="9">
        <f t="shared" si="2"/>
        <v>44654</v>
      </c>
      <c r="C6" s="7" t="str">
        <f t="shared" si="4"/>
        <v>日</v>
      </c>
      <c r="D6" s="15"/>
      <c r="E6" s="15" t="str">
        <f t="shared" ref="E6:E33" si="10">IF(D6="","",D6*100)</f>
        <v/>
      </c>
      <c r="F6" s="15"/>
      <c r="G6" s="15" t="str">
        <f t="shared" si="5"/>
        <v/>
      </c>
      <c r="H6" s="15"/>
      <c r="I6" s="15" t="str">
        <f t="shared" si="6"/>
        <v/>
      </c>
      <c r="J6" s="16">
        <f t="shared" si="3"/>
        <v>44654</v>
      </c>
      <c r="K6" s="15"/>
      <c r="L6" s="15" t="str">
        <f t="shared" si="7"/>
        <v/>
      </c>
      <c r="M6" s="15"/>
      <c r="N6" s="10" t="str">
        <f t="shared" si="8"/>
        <v/>
      </c>
      <c r="Q6"/>
      <c r="R6" s="51" t="str">
        <f t="shared" si="0"/>
        <v/>
      </c>
      <c r="S6"/>
      <c r="T6" s="51" t="str">
        <f t="shared" si="1"/>
        <v/>
      </c>
    </row>
    <row r="7" spans="1:20" ht="13.9" customHeight="1" x14ac:dyDescent="0.15">
      <c r="A7" s="8">
        <f t="shared" si="9"/>
        <v>44655</v>
      </c>
      <c r="B7" s="9">
        <f t="shared" si="2"/>
        <v>44655</v>
      </c>
      <c r="C7" s="7" t="str">
        <f t="shared" si="4"/>
        <v>月</v>
      </c>
      <c r="D7" s="15"/>
      <c r="E7" s="15" t="str">
        <f>IF(D7="","",D7*100)</f>
        <v/>
      </c>
      <c r="F7" s="15"/>
      <c r="G7" s="15" t="str">
        <f t="shared" si="5"/>
        <v/>
      </c>
      <c r="H7" s="15"/>
      <c r="I7" s="15" t="str">
        <f t="shared" si="6"/>
        <v/>
      </c>
      <c r="J7" s="16">
        <f t="shared" si="3"/>
        <v>44655</v>
      </c>
      <c r="K7" s="15">
        <v>60</v>
      </c>
      <c r="L7" s="15">
        <f t="shared" si="7"/>
        <v>6000</v>
      </c>
      <c r="M7" s="15"/>
      <c r="N7" s="10" t="str">
        <f t="shared" si="8"/>
        <v/>
      </c>
      <c r="Q7"/>
      <c r="R7" s="51" t="str">
        <f t="shared" si="0"/>
        <v/>
      </c>
      <c r="S7"/>
      <c r="T7" s="51" t="str">
        <f t="shared" si="1"/>
        <v/>
      </c>
    </row>
    <row r="8" spans="1:20" ht="13.9" customHeight="1" x14ac:dyDescent="0.15">
      <c r="A8" s="8">
        <f t="shared" si="9"/>
        <v>44656</v>
      </c>
      <c r="B8" s="9">
        <f t="shared" si="2"/>
        <v>44656</v>
      </c>
      <c r="C8" s="7" t="str">
        <f t="shared" si="4"/>
        <v>火</v>
      </c>
      <c r="D8" s="15">
        <v>90</v>
      </c>
      <c r="E8" s="15">
        <f>IF(D8="","",D8*100)</f>
        <v>9000</v>
      </c>
      <c r="F8" s="15"/>
      <c r="G8" s="15" t="str">
        <f t="shared" si="5"/>
        <v/>
      </c>
      <c r="H8" s="15"/>
      <c r="I8" s="15" t="str">
        <f t="shared" si="6"/>
        <v/>
      </c>
      <c r="J8" s="16">
        <f t="shared" si="3"/>
        <v>44656</v>
      </c>
      <c r="K8" s="15">
        <v>60</v>
      </c>
      <c r="L8" s="15">
        <f t="shared" si="7"/>
        <v>6000</v>
      </c>
      <c r="M8" s="15"/>
      <c r="N8" s="10" t="str">
        <f t="shared" si="8"/>
        <v/>
      </c>
      <c r="Q8"/>
      <c r="R8" s="51" t="str">
        <f t="shared" si="0"/>
        <v/>
      </c>
      <c r="S8"/>
      <c r="T8" s="51" t="str">
        <f t="shared" si="1"/>
        <v/>
      </c>
    </row>
    <row r="9" spans="1:20" ht="13.9" customHeight="1" x14ac:dyDescent="0.15">
      <c r="A9" s="8">
        <f t="shared" si="9"/>
        <v>44657</v>
      </c>
      <c r="B9" s="9">
        <f t="shared" si="2"/>
        <v>44657</v>
      </c>
      <c r="C9" s="7" t="str">
        <f t="shared" si="4"/>
        <v>水</v>
      </c>
      <c r="D9" s="15"/>
      <c r="E9" s="15" t="str">
        <f t="shared" si="10"/>
        <v/>
      </c>
      <c r="F9" s="15"/>
      <c r="G9" s="15" t="str">
        <f t="shared" si="5"/>
        <v/>
      </c>
      <c r="H9" s="15"/>
      <c r="I9" s="15" t="str">
        <f t="shared" si="6"/>
        <v/>
      </c>
      <c r="J9" s="16">
        <f t="shared" si="3"/>
        <v>44657</v>
      </c>
      <c r="K9" s="15"/>
      <c r="L9" s="15" t="str">
        <f t="shared" si="7"/>
        <v/>
      </c>
      <c r="M9" s="15"/>
      <c r="N9" s="10" t="str">
        <f t="shared" si="8"/>
        <v/>
      </c>
      <c r="Q9"/>
      <c r="R9" s="51" t="str">
        <f t="shared" si="0"/>
        <v/>
      </c>
      <c r="S9"/>
      <c r="T9" s="51" t="str">
        <f t="shared" si="1"/>
        <v/>
      </c>
    </row>
    <row r="10" spans="1:20" ht="13.9" customHeight="1" x14ac:dyDescent="0.15">
      <c r="A10" s="8">
        <f t="shared" si="9"/>
        <v>44658</v>
      </c>
      <c r="B10" s="9">
        <f t="shared" si="2"/>
        <v>44658</v>
      </c>
      <c r="C10" s="7" t="str">
        <f t="shared" si="4"/>
        <v>木</v>
      </c>
      <c r="D10" s="15"/>
      <c r="E10" s="15" t="str">
        <f t="shared" si="10"/>
        <v/>
      </c>
      <c r="F10" s="15"/>
      <c r="G10" s="15" t="str">
        <f t="shared" si="5"/>
        <v/>
      </c>
      <c r="H10" s="15"/>
      <c r="I10" s="15" t="str">
        <f t="shared" si="6"/>
        <v/>
      </c>
      <c r="J10" s="16">
        <f t="shared" si="3"/>
        <v>44658</v>
      </c>
      <c r="K10" s="15">
        <v>60</v>
      </c>
      <c r="L10" s="15">
        <f t="shared" si="7"/>
        <v>6000</v>
      </c>
      <c r="M10" s="15"/>
      <c r="N10" s="10" t="str">
        <f t="shared" si="8"/>
        <v/>
      </c>
      <c r="Q10"/>
      <c r="R10" s="51" t="str">
        <f t="shared" si="0"/>
        <v/>
      </c>
      <c r="S10"/>
      <c r="T10" s="51" t="str">
        <f t="shared" si="1"/>
        <v/>
      </c>
    </row>
    <row r="11" spans="1:20" ht="13.9" customHeight="1" x14ac:dyDescent="0.15">
      <c r="A11" s="8">
        <f t="shared" si="9"/>
        <v>44659</v>
      </c>
      <c r="B11" s="9">
        <f t="shared" si="2"/>
        <v>44659</v>
      </c>
      <c r="C11" s="7" t="str">
        <f t="shared" si="4"/>
        <v>金</v>
      </c>
      <c r="D11" s="15">
        <v>60</v>
      </c>
      <c r="E11" s="15">
        <f t="shared" si="10"/>
        <v>6000</v>
      </c>
      <c r="F11" s="15"/>
      <c r="G11" s="15" t="str">
        <f t="shared" si="5"/>
        <v/>
      </c>
      <c r="H11" s="15"/>
      <c r="I11" s="15" t="str">
        <f t="shared" si="6"/>
        <v/>
      </c>
      <c r="J11" s="16">
        <f t="shared" si="3"/>
        <v>44659</v>
      </c>
      <c r="K11" s="15"/>
      <c r="L11" s="15" t="str">
        <f t="shared" si="7"/>
        <v/>
      </c>
      <c r="M11" s="15"/>
      <c r="N11" s="10" t="str">
        <f t="shared" si="8"/>
        <v/>
      </c>
      <c r="Q11"/>
      <c r="R11" s="51" t="str">
        <f t="shared" si="0"/>
        <v/>
      </c>
      <c r="S11"/>
      <c r="T11" s="51" t="str">
        <f t="shared" si="1"/>
        <v/>
      </c>
    </row>
    <row r="12" spans="1:20" ht="13.9" customHeight="1" x14ac:dyDescent="0.15">
      <c r="A12" s="8">
        <f t="shared" si="9"/>
        <v>44660</v>
      </c>
      <c r="B12" s="9">
        <f t="shared" si="2"/>
        <v>44660</v>
      </c>
      <c r="C12" s="7" t="str">
        <f t="shared" si="4"/>
        <v>土</v>
      </c>
      <c r="D12" s="15">
        <v>90</v>
      </c>
      <c r="E12" s="15">
        <f t="shared" si="10"/>
        <v>9000</v>
      </c>
      <c r="F12" s="15"/>
      <c r="G12" s="15" t="str">
        <f t="shared" si="5"/>
        <v/>
      </c>
      <c r="H12" s="15"/>
      <c r="I12" s="15" t="str">
        <f t="shared" si="6"/>
        <v/>
      </c>
      <c r="J12" s="16">
        <f t="shared" si="3"/>
        <v>44660</v>
      </c>
      <c r="K12" s="15"/>
      <c r="L12" s="15" t="str">
        <f t="shared" si="7"/>
        <v/>
      </c>
      <c r="M12" s="15"/>
      <c r="N12" s="10" t="str">
        <f t="shared" si="8"/>
        <v/>
      </c>
      <c r="Q12"/>
      <c r="R12" s="51" t="str">
        <f t="shared" si="0"/>
        <v/>
      </c>
      <c r="S12"/>
      <c r="T12" s="51" t="str">
        <f t="shared" si="1"/>
        <v/>
      </c>
    </row>
    <row r="13" spans="1:20" ht="13.9" customHeight="1" x14ac:dyDescent="0.15">
      <c r="A13" s="8">
        <f t="shared" si="9"/>
        <v>44661</v>
      </c>
      <c r="B13" s="9">
        <f t="shared" si="2"/>
        <v>44661</v>
      </c>
      <c r="C13" s="7" t="str">
        <f t="shared" si="4"/>
        <v>日</v>
      </c>
      <c r="D13" s="15"/>
      <c r="E13" s="15" t="str">
        <f t="shared" si="10"/>
        <v/>
      </c>
      <c r="F13" s="15"/>
      <c r="G13" s="15" t="str">
        <f t="shared" si="5"/>
        <v/>
      </c>
      <c r="H13" s="15"/>
      <c r="I13" s="15" t="str">
        <f t="shared" si="6"/>
        <v/>
      </c>
      <c r="J13" s="16">
        <f t="shared" si="3"/>
        <v>44661</v>
      </c>
      <c r="K13" s="15"/>
      <c r="L13" s="15" t="str">
        <f t="shared" si="7"/>
        <v/>
      </c>
      <c r="M13" s="15"/>
      <c r="N13" s="10" t="str">
        <f t="shared" si="8"/>
        <v/>
      </c>
      <c r="Q13"/>
      <c r="R13" s="51" t="str">
        <f t="shared" si="0"/>
        <v/>
      </c>
      <c r="S13"/>
      <c r="T13" s="51" t="str">
        <f t="shared" si="1"/>
        <v/>
      </c>
    </row>
    <row r="14" spans="1:20" ht="13.9" customHeight="1" x14ac:dyDescent="0.15">
      <c r="A14" s="8">
        <f t="shared" si="9"/>
        <v>44662</v>
      </c>
      <c r="B14" s="9">
        <f t="shared" si="2"/>
        <v>44662</v>
      </c>
      <c r="C14" s="7" t="str">
        <f t="shared" si="4"/>
        <v>月</v>
      </c>
      <c r="D14" s="15"/>
      <c r="E14" s="15" t="str">
        <f t="shared" si="10"/>
        <v/>
      </c>
      <c r="F14" s="15"/>
      <c r="G14" s="15" t="str">
        <f t="shared" si="5"/>
        <v/>
      </c>
      <c r="H14" s="15"/>
      <c r="I14" s="15" t="str">
        <f t="shared" si="6"/>
        <v/>
      </c>
      <c r="J14" s="16">
        <f t="shared" si="3"/>
        <v>44662</v>
      </c>
      <c r="K14" s="15">
        <v>60</v>
      </c>
      <c r="L14" s="15">
        <f t="shared" si="7"/>
        <v>6000</v>
      </c>
      <c r="M14" s="15"/>
      <c r="N14" s="10" t="str">
        <f t="shared" si="8"/>
        <v/>
      </c>
      <c r="Q14"/>
      <c r="R14" s="51" t="str">
        <f t="shared" si="0"/>
        <v/>
      </c>
      <c r="S14"/>
      <c r="T14" s="51" t="str">
        <f>IF(S14="","",COUNTIF($K$4:$N$34,S14))</f>
        <v/>
      </c>
    </row>
    <row r="15" spans="1:20" ht="13.9" customHeight="1" x14ac:dyDescent="0.15">
      <c r="A15" s="8">
        <f t="shared" si="9"/>
        <v>44663</v>
      </c>
      <c r="B15" s="9">
        <f t="shared" si="2"/>
        <v>44663</v>
      </c>
      <c r="C15" s="7" t="str">
        <f t="shared" si="4"/>
        <v>火</v>
      </c>
      <c r="D15" s="15">
        <v>90</v>
      </c>
      <c r="E15" s="15">
        <f t="shared" si="10"/>
        <v>9000</v>
      </c>
      <c r="F15" s="15"/>
      <c r="G15" s="15" t="str">
        <f t="shared" si="5"/>
        <v/>
      </c>
      <c r="H15" s="15"/>
      <c r="I15" s="15" t="str">
        <f t="shared" si="6"/>
        <v/>
      </c>
      <c r="J15" s="16">
        <f t="shared" si="3"/>
        <v>44663</v>
      </c>
      <c r="K15" s="15">
        <v>60</v>
      </c>
      <c r="L15" s="15">
        <f t="shared" si="7"/>
        <v>6000</v>
      </c>
      <c r="M15" s="15"/>
      <c r="N15" s="10" t="str">
        <f t="shared" si="8"/>
        <v/>
      </c>
      <c r="Q15"/>
      <c r="R15" s="51" t="str">
        <f t="shared" si="0"/>
        <v/>
      </c>
      <c r="S15"/>
      <c r="T15" s="51" t="str">
        <f t="shared" si="1"/>
        <v/>
      </c>
    </row>
    <row r="16" spans="1:20" ht="13.9" customHeight="1" x14ac:dyDescent="0.15">
      <c r="A16" s="8">
        <f t="shared" si="9"/>
        <v>44664</v>
      </c>
      <c r="B16" s="9">
        <f t="shared" si="2"/>
        <v>44664</v>
      </c>
      <c r="C16" s="7" t="str">
        <f t="shared" si="4"/>
        <v>水</v>
      </c>
      <c r="D16" s="15"/>
      <c r="E16" s="15" t="str">
        <f t="shared" si="10"/>
        <v/>
      </c>
      <c r="F16" s="15"/>
      <c r="G16" s="15" t="str">
        <f t="shared" si="5"/>
        <v/>
      </c>
      <c r="H16" s="15"/>
      <c r="I16" s="15" t="str">
        <f t="shared" si="6"/>
        <v/>
      </c>
      <c r="J16" s="16">
        <f t="shared" si="3"/>
        <v>44664</v>
      </c>
      <c r="K16" s="15"/>
      <c r="L16" s="15" t="str">
        <f t="shared" si="7"/>
        <v/>
      </c>
      <c r="M16" s="15"/>
      <c r="N16" s="10" t="str">
        <f t="shared" si="8"/>
        <v/>
      </c>
      <c r="Q16"/>
      <c r="R16" s="51" t="str">
        <f t="shared" si="0"/>
        <v/>
      </c>
      <c r="S16"/>
      <c r="T16" s="51" t="str">
        <f t="shared" si="1"/>
        <v/>
      </c>
    </row>
    <row r="17" spans="1:20" ht="13.9" customHeight="1" x14ac:dyDescent="0.15">
      <c r="A17" s="8">
        <f t="shared" si="9"/>
        <v>44665</v>
      </c>
      <c r="B17" s="9">
        <f t="shared" si="2"/>
        <v>44665</v>
      </c>
      <c r="C17" s="7" t="str">
        <f t="shared" si="4"/>
        <v>木</v>
      </c>
      <c r="D17" s="15"/>
      <c r="E17" s="15" t="str">
        <f t="shared" si="10"/>
        <v/>
      </c>
      <c r="F17" s="15"/>
      <c r="G17" s="15" t="str">
        <f t="shared" si="5"/>
        <v/>
      </c>
      <c r="H17" s="15"/>
      <c r="I17" s="15" t="str">
        <f t="shared" si="6"/>
        <v/>
      </c>
      <c r="J17" s="16">
        <f t="shared" si="3"/>
        <v>44665</v>
      </c>
      <c r="K17" s="15"/>
      <c r="L17" s="15" t="str">
        <f t="shared" si="7"/>
        <v/>
      </c>
      <c r="M17" s="15"/>
      <c r="N17" s="10" t="str">
        <f t="shared" si="8"/>
        <v/>
      </c>
      <c r="Q17"/>
      <c r="R17" s="51" t="str">
        <f t="shared" si="0"/>
        <v/>
      </c>
      <c r="S17"/>
      <c r="T17" s="51" t="str">
        <f t="shared" si="1"/>
        <v/>
      </c>
    </row>
    <row r="18" spans="1:20" ht="13.9" customHeight="1" x14ac:dyDescent="0.15">
      <c r="A18" s="8">
        <f t="shared" si="9"/>
        <v>44666</v>
      </c>
      <c r="B18" s="9">
        <f t="shared" si="2"/>
        <v>44666</v>
      </c>
      <c r="C18" s="7" t="str">
        <f t="shared" si="4"/>
        <v>金</v>
      </c>
      <c r="D18" s="15"/>
      <c r="E18" s="15" t="str">
        <f t="shared" si="10"/>
        <v/>
      </c>
      <c r="F18" s="15"/>
      <c r="G18" s="15" t="str">
        <f t="shared" si="5"/>
        <v/>
      </c>
      <c r="H18" s="15"/>
      <c r="I18" s="15" t="str">
        <f t="shared" si="6"/>
        <v/>
      </c>
      <c r="J18" s="16">
        <f t="shared" si="3"/>
        <v>44666</v>
      </c>
      <c r="K18" s="15">
        <v>60</v>
      </c>
      <c r="L18" s="15">
        <f t="shared" si="7"/>
        <v>6000</v>
      </c>
      <c r="M18" s="15"/>
      <c r="N18" s="10" t="str">
        <f t="shared" si="8"/>
        <v/>
      </c>
      <c r="Q18"/>
      <c r="R18" s="51" t="str">
        <f t="shared" si="0"/>
        <v/>
      </c>
      <c r="S18"/>
      <c r="T18" s="51" t="str">
        <f t="shared" si="1"/>
        <v/>
      </c>
    </row>
    <row r="19" spans="1:20" ht="13.9" customHeight="1" x14ac:dyDescent="0.15">
      <c r="A19" s="8">
        <f t="shared" si="9"/>
        <v>44667</v>
      </c>
      <c r="B19" s="9">
        <f t="shared" si="2"/>
        <v>44667</v>
      </c>
      <c r="C19" s="7" t="str">
        <f t="shared" si="4"/>
        <v>土</v>
      </c>
      <c r="D19" s="15">
        <v>90</v>
      </c>
      <c r="E19" s="15">
        <f t="shared" si="10"/>
        <v>9000</v>
      </c>
      <c r="F19" s="15"/>
      <c r="G19" s="15" t="str">
        <f t="shared" si="5"/>
        <v/>
      </c>
      <c r="H19" s="15"/>
      <c r="I19" s="15" t="str">
        <f t="shared" si="6"/>
        <v/>
      </c>
      <c r="J19" s="16">
        <f t="shared" si="3"/>
        <v>44667</v>
      </c>
      <c r="K19" s="15"/>
      <c r="L19" s="15" t="str">
        <f t="shared" si="7"/>
        <v/>
      </c>
      <c r="M19" s="15"/>
      <c r="N19" s="10" t="str">
        <f t="shared" si="8"/>
        <v/>
      </c>
      <c r="Q19"/>
      <c r="R19" s="51" t="str">
        <f t="shared" si="0"/>
        <v/>
      </c>
      <c r="S19"/>
      <c r="T19" s="51" t="str">
        <f t="shared" si="1"/>
        <v/>
      </c>
    </row>
    <row r="20" spans="1:20" ht="13.9" customHeight="1" x14ac:dyDescent="0.15">
      <c r="A20" s="8">
        <f t="shared" si="9"/>
        <v>44668</v>
      </c>
      <c r="B20" s="9">
        <f t="shared" si="2"/>
        <v>44668</v>
      </c>
      <c r="C20" s="7" t="str">
        <f t="shared" si="4"/>
        <v>日</v>
      </c>
      <c r="D20" s="15"/>
      <c r="E20" s="15" t="str">
        <f t="shared" si="10"/>
        <v/>
      </c>
      <c r="F20" s="15"/>
      <c r="G20" s="15" t="str">
        <f t="shared" si="5"/>
        <v/>
      </c>
      <c r="H20" s="15"/>
      <c r="I20" s="15" t="str">
        <f t="shared" si="6"/>
        <v/>
      </c>
      <c r="J20" s="16">
        <f t="shared" si="3"/>
        <v>44668</v>
      </c>
      <c r="K20" s="15"/>
      <c r="L20" s="15" t="str">
        <f t="shared" si="7"/>
        <v/>
      </c>
      <c r="M20" s="15"/>
      <c r="N20" s="10" t="str">
        <f t="shared" si="8"/>
        <v/>
      </c>
      <c r="Q20"/>
      <c r="R20" s="51" t="str">
        <f t="shared" si="0"/>
        <v/>
      </c>
      <c r="S20"/>
      <c r="T20" s="51" t="str">
        <f t="shared" si="1"/>
        <v/>
      </c>
    </row>
    <row r="21" spans="1:20" ht="13.9" customHeight="1" x14ac:dyDescent="0.15">
      <c r="A21" s="8">
        <f t="shared" si="9"/>
        <v>44669</v>
      </c>
      <c r="B21" s="9">
        <f t="shared" si="2"/>
        <v>44669</v>
      </c>
      <c r="C21" s="7" t="str">
        <f t="shared" si="4"/>
        <v>月</v>
      </c>
      <c r="D21" s="15"/>
      <c r="E21" s="15" t="str">
        <f t="shared" si="10"/>
        <v/>
      </c>
      <c r="F21" s="15"/>
      <c r="G21" s="15" t="str">
        <f t="shared" si="5"/>
        <v/>
      </c>
      <c r="H21" s="15"/>
      <c r="I21" s="15" t="str">
        <f t="shared" si="6"/>
        <v/>
      </c>
      <c r="J21" s="16">
        <f t="shared" si="3"/>
        <v>44669</v>
      </c>
      <c r="K21" s="15">
        <v>60</v>
      </c>
      <c r="L21" s="15">
        <f t="shared" si="7"/>
        <v>6000</v>
      </c>
      <c r="M21" s="15"/>
      <c r="N21" s="10" t="str">
        <f t="shared" si="8"/>
        <v/>
      </c>
      <c r="Q21"/>
      <c r="R21" s="51" t="str">
        <f t="shared" si="0"/>
        <v/>
      </c>
      <c r="S21"/>
      <c r="T21" s="51" t="str">
        <f t="shared" si="1"/>
        <v/>
      </c>
    </row>
    <row r="22" spans="1:20" ht="13.9" customHeight="1" x14ac:dyDescent="0.15">
      <c r="A22" s="8">
        <f t="shared" si="9"/>
        <v>44670</v>
      </c>
      <c r="B22" s="9">
        <f t="shared" si="2"/>
        <v>44670</v>
      </c>
      <c r="C22" s="7" t="str">
        <f t="shared" si="4"/>
        <v>火</v>
      </c>
      <c r="D22" s="15">
        <v>90</v>
      </c>
      <c r="E22" s="15">
        <f t="shared" si="10"/>
        <v>9000</v>
      </c>
      <c r="F22" s="15"/>
      <c r="G22" s="15" t="str">
        <f t="shared" si="5"/>
        <v/>
      </c>
      <c r="H22" s="15"/>
      <c r="I22" s="15" t="str">
        <f t="shared" si="6"/>
        <v/>
      </c>
      <c r="J22" s="16">
        <f t="shared" si="3"/>
        <v>44670</v>
      </c>
      <c r="K22" s="15">
        <v>60</v>
      </c>
      <c r="L22" s="15">
        <f t="shared" si="7"/>
        <v>6000</v>
      </c>
      <c r="M22" s="15"/>
      <c r="N22" s="10" t="str">
        <f t="shared" si="8"/>
        <v/>
      </c>
      <c r="Q22"/>
      <c r="R22" s="51" t="str">
        <f t="shared" si="0"/>
        <v/>
      </c>
      <c r="S22"/>
      <c r="T22" s="51" t="str">
        <f t="shared" si="1"/>
        <v/>
      </c>
    </row>
    <row r="23" spans="1:20" ht="13.9" customHeight="1" x14ac:dyDescent="0.15">
      <c r="A23" s="8">
        <f t="shared" si="9"/>
        <v>44671</v>
      </c>
      <c r="B23" s="9">
        <f t="shared" si="2"/>
        <v>44671</v>
      </c>
      <c r="C23" s="7" t="str">
        <f t="shared" si="4"/>
        <v>水</v>
      </c>
      <c r="D23" s="15"/>
      <c r="E23" s="15" t="str">
        <f t="shared" si="10"/>
        <v/>
      </c>
      <c r="F23" s="15"/>
      <c r="G23" s="15" t="str">
        <f t="shared" si="5"/>
        <v/>
      </c>
      <c r="H23" s="15"/>
      <c r="I23" s="15" t="str">
        <f t="shared" si="6"/>
        <v/>
      </c>
      <c r="J23" s="16">
        <f t="shared" si="3"/>
        <v>44671</v>
      </c>
      <c r="K23" s="15"/>
      <c r="L23" s="15" t="str">
        <f t="shared" si="7"/>
        <v/>
      </c>
      <c r="M23" s="15"/>
      <c r="N23" s="10" t="str">
        <f t="shared" si="8"/>
        <v/>
      </c>
      <c r="Q23"/>
      <c r="R23" s="51" t="str">
        <f t="shared" si="0"/>
        <v/>
      </c>
      <c r="S23"/>
      <c r="T23" s="51" t="str">
        <f t="shared" si="1"/>
        <v/>
      </c>
    </row>
    <row r="24" spans="1:20" ht="13.9" customHeight="1" x14ac:dyDescent="0.15">
      <c r="A24" s="8">
        <f t="shared" si="9"/>
        <v>44672</v>
      </c>
      <c r="B24" s="9">
        <f t="shared" si="2"/>
        <v>44672</v>
      </c>
      <c r="C24" s="7" t="str">
        <f t="shared" si="4"/>
        <v>木</v>
      </c>
      <c r="D24" s="15"/>
      <c r="E24" s="15" t="str">
        <f t="shared" si="10"/>
        <v/>
      </c>
      <c r="F24" s="15"/>
      <c r="G24" s="15" t="str">
        <f t="shared" si="5"/>
        <v/>
      </c>
      <c r="H24" s="15"/>
      <c r="I24" s="15" t="str">
        <f t="shared" si="6"/>
        <v/>
      </c>
      <c r="J24" s="16">
        <f t="shared" si="3"/>
        <v>44672</v>
      </c>
      <c r="K24" s="15">
        <v>60</v>
      </c>
      <c r="L24" s="15">
        <f t="shared" si="7"/>
        <v>6000</v>
      </c>
      <c r="M24" s="15"/>
      <c r="N24" s="10" t="str">
        <f t="shared" si="8"/>
        <v/>
      </c>
      <c r="Q24"/>
      <c r="R24" s="51" t="str">
        <f t="shared" si="0"/>
        <v/>
      </c>
      <c r="S24"/>
      <c r="T24" s="51" t="str">
        <f t="shared" si="1"/>
        <v/>
      </c>
    </row>
    <row r="25" spans="1:20" ht="13.9" customHeight="1" x14ac:dyDescent="0.15">
      <c r="A25" s="8">
        <f t="shared" si="9"/>
        <v>44673</v>
      </c>
      <c r="B25" s="9">
        <f t="shared" si="2"/>
        <v>44673</v>
      </c>
      <c r="C25" s="7" t="str">
        <f t="shared" si="4"/>
        <v>金</v>
      </c>
      <c r="D25" s="15"/>
      <c r="E25" s="15" t="str">
        <f t="shared" si="10"/>
        <v/>
      </c>
      <c r="F25" s="15"/>
      <c r="G25" s="15" t="str">
        <f t="shared" si="5"/>
        <v/>
      </c>
      <c r="H25" s="15"/>
      <c r="I25" s="15" t="str">
        <f t="shared" si="6"/>
        <v/>
      </c>
      <c r="J25" s="16">
        <f t="shared" si="3"/>
        <v>44673</v>
      </c>
      <c r="K25" s="15">
        <v>60</v>
      </c>
      <c r="L25" s="15">
        <f t="shared" si="7"/>
        <v>6000</v>
      </c>
      <c r="M25" s="15"/>
      <c r="N25" s="10" t="str">
        <f t="shared" si="8"/>
        <v/>
      </c>
      <c r="Q25"/>
      <c r="R25" s="51" t="str">
        <f t="shared" si="0"/>
        <v/>
      </c>
      <c r="S25"/>
      <c r="T25" s="51" t="str">
        <f t="shared" si="1"/>
        <v/>
      </c>
    </row>
    <row r="26" spans="1:20" ht="13.9" customHeight="1" x14ac:dyDescent="0.15">
      <c r="A26" s="8">
        <f t="shared" si="9"/>
        <v>44674</v>
      </c>
      <c r="B26" s="9">
        <f t="shared" si="2"/>
        <v>44674</v>
      </c>
      <c r="C26" s="7" t="str">
        <f t="shared" si="4"/>
        <v>土</v>
      </c>
      <c r="D26" s="15">
        <v>90</v>
      </c>
      <c r="E26" s="15">
        <f t="shared" si="10"/>
        <v>9000</v>
      </c>
      <c r="F26" s="15"/>
      <c r="G26" s="15" t="str">
        <f t="shared" si="5"/>
        <v/>
      </c>
      <c r="H26" s="15"/>
      <c r="I26" s="15" t="str">
        <f t="shared" si="6"/>
        <v/>
      </c>
      <c r="J26" s="16">
        <f t="shared" si="3"/>
        <v>44674</v>
      </c>
      <c r="K26" s="15"/>
      <c r="L26" s="15" t="str">
        <f t="shared" si="7"/>
        <v/>
      </c>
      <c r="M26" s="15"/>
      <c r="N26" s="10" t="str">
        <f t="shared" si="8"/>
        <v/>
      </c>
      <c r="Q26"/>
      <c r="R26" s="51" t="str">
        <f t="shared" si="0"/>
        <v/>
      </c>
      <c r="S26"/>
      <c r="T26" s="51" t="str">
        <f t="shared" si="1"/>
        <v/>
      </c>
    </row>
    <row r="27" spans="1:20" ht="13.9" customHeight="1" x14ac:dyDescent="0.15">
      <c r="A27" s="8">
        <f t="shared" si="9"/>
        <v>44675</v>
      </c>
      <c r="B27" s="9">
        <f t="shared" si="2"/>
        <v>44675</v>
      </c>
      <c r="C27" s="7" t="str">
        <f t="shared" si="4"/>
        <v>日</v>
      </c>
      <c r="D27" s="15"/>
      <c r="E27" s="15" t="str">
        <f t="shared" si="10"/>
        <v/>
      </c>
      <c r="F27" s="15"/>
      <c r="G27" s="15" t="str">
        <f>IF(F27="","",F27*100)</f>
        <v/>
      </c>
      <c r="H27" s="15"/>
      <c r="I27" s="15" t="str">
        <f t="shared" si="6"/>
        <v/>
      </c>
      <c r="J27" s="16">
        <f t="shared" si="3"/>
        <v>44675</v>
      </c>
      <c r="K27" s="15"/>
      <c r="L27" s="15" t="str">
        <f t="shared" si="7"/>
        <v/>
      </c>
      <c r="M27" s="15"/>
      <c r="N27" s="10" t="str">
        <f t="shared" si="8"/>
        <v/>
      </c>
      <c r="Q27"/>
      <c r="R27" s="51" t="str">
        <f t="shared" si="0"/>
        <v/>
      </c>
      <c r="S27"/>
      <c r="T27" s="51" t="str">
        <f t="shared" si="1"/>
        <v/>
      </c>
    </row>
    <row r="28" spans="1:20" ht="13.9" customHeight="1" x14ac:dyDescent="0.15">
      <c r="A28" s="8">
        <f t="shared" si="9"/>
        <v>44676</v>
      </c>
      <c r="B28" s="11">
        <f t="shared" si="2"/>
        <v>44676</v>
      </c>
      <c r="C28" s="12" t="str">
        <f t="shared" si="4"/>
        <v>月</v>
      </c>
      <c r="D28" s="15"/>
      <c r="E28" s="15" t="str">
        <f>IF(D28="","",D28*100)</f>
        <v/>
      </c>
      <c r="F28" s="15"/>
      <c r="G28" s="15" t="str">
        <f t="shared" si="5"/>
        <v/>
      </c>
      <c r="H28" s="15"/>
      <c r="I28" s="15" t="str">
        <f t="shared" si="6"/>
        <v/>
      </c>
      <c r="J28" s="16">
        <f t="shared" si="3"/>
        <v>44676</v>
      </c>
      <c r="K28" s="15">
        <v>60</v>
      </c>
      <c r="L28" s="15">
        <f t="shared" si="7"/>
        <v>6000</v>
      </c>
      <c r="M28" s="15"/>
      <c r="N28" s="10" t="str">
        <f t="shared" si="8"/>
        <v/>
      </c>
      <c r="Q28"/>
      <c r="R28" s="51" t="str">
        <f t="shared" si="0"/>
        <v/>
      </c>
      <c r="S28"/>
      <c r="T28" s="51" t="str">
        <f t="shared" si="1"/>
        <v/>
      </c>
    </row>
    <row r="29" spans="1:20" ht="13.9" customHeight="1" x14ac:dyDescent="0.15">
      <c r="A29" s="8">
        <f t="shared" si="9"/>
        <v>44677</v>
      </c>
      <c r="B29" s="11">
        <f t="shared" si="2"/>
        <v>44677</v>
      </c>
      <c r="C29" s="12" t="str">
        <f t="shared" si="4"/>
        <v>火</v>
      </c>
      <c r="D29" s="15">
        <v>90</v>
      </c>
      <c r="E29" s="15">
        <f>IF(D29="","",D29*100)</f>
        <v>9000</v>
      </c>
      <c r="F29" s="15"/>
      <c r="G29" s="15" t="str">
        <f t="shared" si="5"/>
        <v/>
      </c>
      <c r="H29" s="15"/>
      <c r="I29" s="15" t="str">
        <f t="shared" si="6"/>
        <v/>
      </c>
      <c r="J29" s="16">
        <f t="shared" si="3"/>
        <v>44677</v>
      </c>
      <c r="K29" s="15">
        <v>60</v>
      </c>
      <c r="L29" s="15">
        <f t="shared" si="7"/>
        <v>6000</v>
      </c>
      <c r="M29" s="15"/>
      <c r="N29" s="10" t="str">
        <f t="shared" si="8"/>
        <v/>
      </c>
      <c r="Q29"/>
      <c r="R29" s="51" t="str">
        <f t="shared" si="0"/>
        <v/>
      </c>
      <c r="S29"/>
      <c r="T29" s="51" t="str">
        <f t="shared" si="1"/>
        <v/>
      </c>
    </row>
    <row r="30" spans="1:20" ht="13.9" customHeight="1" x14ac:dyDescent="0.15">
      <c r="A30" s="8">
        <f t="shared" si="9"/>
        <v>44678</v>
      </c>
      <c r="B30" s="9">
        <f t="shared" si="2"/>
        <v>44678</v>
      </c>
      <c r="C30" s="7" t="str">
        <f t="shared" si="4"/>
        <v>水</v>
      </c>
      <c r="D30" s="15"/>
      <c r="E30" s="15" t="str">
        <f t="shared" si="10"/>
        <v/>
      </c>
      <c r="F30" s="15"/>
      <c r="G30" s="15" t="str">
        <f t="shared" si="5"/>
        <v/>
      </c>
      <c r="H30" s="15"/>
      <c r="I30" s="15" t="str">
        <f t="shared" si="6"/>
        <v/>
      </c>
      <c r="J30" s="16">
        <f t="shared" si="3"/>
        <v>44678</v>
      </c>
      <c r="K30" s="15"/>
      <c r="L30" s="15" t="str">
        <f t="shared" si="7"/>
        <v/>
      </c>
      <c r="M30" s="15"/>
      <c r="N30" s="10" t="str">
        <f t="shared" si="8"/>
        <v/>
      </c>
      <c r="Q30"/>
      <c r="R30" s="51" t="str">
        <f t="shared" si="0"/>
        <v/>
      </c>
      <c r="S30"/>
      <c r="T30" s="51" t="str">
        <f t="shared" si="1"/>
        <v/>
      </c>
    </row>
    <row r="31" spans="1:20" ht="13.9" customHeight="1" x14ac:dyDescent="0.15">
      <c r="A31" s="8">
        <f t="shared" si="9"/>
        <v>44679</v>
      </c>
      <c r="B31" s="9">
        <f t="shared" si="2"/>
        <v>44679</v>
      </c>
      <c r="C31" s="7" t="str">
        <f t="shared" si="4"/>
        <v>木</v>
      </c>
      <c r="D31" s="15"/>
      <c r="E31" s="15" t="str">
        <f t="shared" si="10"/>
        <v/>
      </c>
      <c r="F31" s="15"/>
      <c r="G31" s="15" t="str">
        <f t="shared" si="5"/>
        <v/>
      </c>
      <c r="H31" s="15"/>
      <c r="I31" s="15" t="str">
        <f t="shared" si="6"/>
        <v/>
      </c>
      <c r="J31" s="16">
        <f t="shared" si="3"/>
        <v>44679</v>
      </c>
      <c r="K31" s="15">
        <v>60</v>
      </c>
      <c r="L31" s="15">
        <f t="shared" si="7"/>
        <v>6000</v>
      </c>
      <c r="M31" s="15"/>
      <c r="N31" s="10" t="str">
        <f t="shared" si="8"/>
        <v/>
      </c>
      <c r="Q31"/>
      <c r="R31" s="51" t="str">
        <f t="shared" si="0"/>
        <v/>
      </c>
      <c r="S31"/>
      <c r="T31" s="51" t="str">
        <f t="shared" si="1"/>
        <v/>
      </c>
    </row>
    <row r="32" spans="1:20" ht="13.9" customHeight="1" x14ac:dyDescent="0.15">
      <c r="A32" s="8">
        <f t="shared" si="9"/>
        <v>44680</v>
      </c>
      <c r="B32" s="9">
        <f>A32</f>
        <v>44680</v>
      </c>
      <c r="C32" s="7" t="str">
        <f t="shared" si="4"/>
        <v>金</v>
      </c>
      <c r="D32" s="15"/>
      <c r="E32" s="15" t="str">
        <f t="shared" si="10"/>
        <v/>
      </c>
      <c r="F32" s="15"/>
      <c r="G32" s="15" t="str">
        <f t="shared" si="5"/>
        <v/>
      </c>
      <c r="H32" s="15"/>
      <c r="I32" s="15" t="str">
        <f t="shared" si="6"/>
        <v/>
      </c>
      <c r="J32" s="16">
        <f t="shared" si="3"/>
        <v>44680</v>
      </c>
      <c r="K32" s="15">
        <v>60</v>
      </c>
      <c r="L32" s="15">
        <f t="shared" si="7"/>
        <v>6000</v>
      </c>
      <c r="M32" s="15"/>
      <c r="N32" s="10" t="str">
        <f t="shared" si="8"/>
        <v/>
      </c>
      <c r="Q32"/>
      <c r="R32" s="51" t="str">
        <f t="shared" si="0"/>
        <v/>
      </c>
      <c r="S32"/>
      <c r="T32" s="51" t="str">
        <f t="shared" si="1"/>
        <v/>
      </c>
    </row>
    <row r="33" spans="1:19" ht="13.9" customHeight="1" x14ac:dyDescent="0.15">
      <c r="A33" s="8">
        <f>A32+1</f>
        <v>44681</v>
      </c>
      <c r="B33" s="9">
        <f t="shared" si="2"/>
        <v>44681</v>
      </c>
      <c r="C33" s="7" t="str">
        <f t="shared" si="4"/>
        <v>土</v>
      </c>
      <c r="D33" s="15">
        <v>90</v>
      </c>
      <c r="E33" s="15">
        <f t="shared" si="10"/>
        <v>9000</v>
      </c>
      <c r="F33" s="15"/>
      <c r="G33" s="15" t="str">
        <f t="shared" si="5"/>
        <v/>
      </c>
      <c r="H33" s="15"/>
      <c r="I33" s="15" t="str">
        <f t="shared" si="6"/>
        <v/>
      </c>
      <c r="J33" s="16">
        <f t="shared" si="3"/>
        <v>44681</v>
      </c>
      <c r="K33" s="15"/>
      <c r="L33" s="15" t="str">
        <f t="shared" si="7"/>
        <v/>
      </c>
      <c r="M33" s="15"/>
      <c r="N33" s="10" t="str">
        <f t="shared" si="8"/>
        <v/>
      </c>
      <c r="Q33"/>
      <c r="R33" s="51" t="str">
        <f t="shared" si="0"/>
        <v/>
      </c>
      <c r="S33"/>
    </row>
    <row r="34" spans="1:19" ht="13.9" customHeight="1" x14ac:dyDescent="0.15">
      <c r="A34" s="8" t="str">
        <f>IF(ISERROR(IF(MONTH(A33+1)&gt;MONTH($A$4),"",A33+1)),"",IF(MONTH(A33+1)&gt;MONTH($A$4),"",A33+1))</f>
        <v/>
      </c>
      <c r="B34" s="9" t="str">
        <f t="shared" si="2"/>
        <v/>
      </c>
      <c r="C34" s="7" t="str">
        <f t="shared" si="4"/>
        <v/>
      </c>
      <c r="D34" s="15"/>
      <c r="E34" s="15"/>
      <c r="F34" s="15"/>
      <c r="G34" s="15" t="str">
        <f t="shared" si="5"/>
        <v/>
      </c>
      <c r="H34" s="15"/>
      <c r="I34" s="15" t="str">
        <f t="shared" si="6"/>
        <v/>
      </c>
      <c r="J34" s="16" t="str">
        <f t="shared" si="3"/>
        <v/>
      </c>
      <c r="K34" s="15"/>
      <c r="L34" s="15" t="str">
        <f t="shared" si="7"/>
        <v/>
      </c>
      <c r="M34" s="15"/>
      <c r="N34" s="10" t="str">
        <f t="shared" si="8"/>
        <v/>
      </c>
      <c r="Q34"/>
      <c r="R34" s="51" t="str">
        <f t="shared" si="0"/>
        <v/>
      </c>
      <c r="S34"/>
    </row>
    <row r="35" spans="1:19" ht="13.9" customHeight="1" x14ac:dyDescent="0.15">
      <c r="A35" s="8"/>
      <c r="B35" s="10" t="s">
        <v>8</v>
      </c>
      <c r="C35" s="7"/>
      <c r="D35" s="15"/>
      <c r="E35" s="15">
        <f>SUM(E4:E34)</f>
        <v>87000</v>
      </c>
      <c r="F35" s="15"/>
      <c r="G35" s="15">
        <f>SUM(G4:G34)</f>
        <v>0</v>
      </c>
      <c r="H35" s="15"/>
      <c r="I35" s="15">
        <f>SUM(I4:I34)</f>
        <v>0</v>
      </c>
      <c r="J35" s="15"/>
      <c r="K35" s="15"/>
      <c r="L35" s="15">
        <f>SUM(L4:L34)</f>
        <v>90000</v>
      </c>
      <c r="M35" s="15"/>
      <c r="N35" s="10">
        <f>SUM(N5:N34)</f>
        <v>0</v>
      </c>
      <c r="Q35"/>
      <c r="S35"/>
    </row>
    <row r="36" spans="1:19" ht="13.9" customHeight="1" x14ac:dyDescent="0.15">
      <c r="C36" s="13" t="s">
        <v>9</v>
      </c>
      <c r="D36" s="14"/>
      <c r="E36" s="14">
        <f>SUM(E35,G35,I35)</f>
        <v>87000</v>
      </c>
      <c r="F36" s="14"/>
      <c r="G36" s="14"/>
      <c r="H36" s="14"/>
      <c r="I36" s="14"/>
      <c r="J36" s="14" t="s">
        <v>10</v>
      </c>
      <c r="K36" s="14" t="s">
        <v>9</v>
      </c>
      <c r="L36" s="14">
        <f>SUM(L35,N35)</f>
        <v>90000</v>
      </c>
      <c r="M36" s="14"/>
      <c r="Q36"/>
      <c r="S36"/>
    </row>
    <row r="37" spans="1:19" ht="13.9" customHeight="1" x14ac:dyDescent="0.15">
      <c r="D37" s="14"/>
      <c r="E37" s="14"/>
      <c r="F37" s="14"/>
      <c r="G37" s="14"/>
      <c r="H37" s="14"/>
      <c r="I37" s="14"/>
      <c r="J37" s="14"/>
      <c r="K37" s="14"/>
      <c r="L37" s="14"/>
      <c r="M37" s="14"/>
      <c r="Q37"/>
      <c r="S37"/>
    </row>
    <row r="38" spans="1:19" ht="13.9" customHeight="1" x14ac:dyDescent="0.15">
      <c r="D38" s="14"/>
      <c r="E38" s="14">
        <f>SUM(E36,L36)</f>
        <v>177000</v>
      </c>
      <c r="F38" s="14"/>
      <c r="G38" s="14"/>
      <c r="H38" s="14"/>
      <c r="I38" s="14"/>
      <c r="J38" s="14"/>
      <c r="K38" s="14"/>
      <c r="L38" s="14"/>
      <c r="M38" s="14"/>
      <c r="Q38"/>
      <c r="S38"/>
    </row>
    <row r="39" spans="1:19" ht="13.9" customHeight="1" x14ac:dyDescent="0.15">
      <c r="D39" s="14"/>
      <c r="E39" s="14"/>
      <c r="F39" s="14"/>
      <c r="G39" s="14"/>
      <c r="H39" s="14"/>
      <c r="I39" s="14"/>
      <c r="J39" s="14"/>
      <c r="K39" s="14"/>
      <c r="L39" s="14"/>
      <c r="M39" s="14"/>
      <c r="Q39"/>
      <c r="S39"/>
    </row>
    <row r="40" spans="1:19" ht="13.9" customHeight="1" x14ac:dyDescent="0.15">
      <c r="D40" s="14"/>
      <c r="E40" s="14"/>
      <c r="F40" s="14"/>
      <c r="G40" s="14"/>
      <c r="H40" s="14"/>
      <c r="I40" s="14"/>
      <c r="J40" s="14"/>
      <c r="K40" s="14"/>
      <c r="L40" s="14"/>
      <c r="M40" s="14"/>
      <c r="Q40"/>
      <c r="S40"/>
    </row>
    <row r="41" spans="1:19" ht="13.9" customHeight="1" x14ac:dyDescent="0.15">
      <c r="D41" s="14"/>
      <c r="E41" s="14"/>
      <c r="F41" s="14"/>
      <c r="G41" s="14"/>
      <c r="H41" s="14"/>
      <c r="I41" s="14"/>
      <c r="J41" s="14"/>
      <c r="K41" s="14"/>
      <c r="L41" s="14"/>
      <c r="M41" s="14"/>
      <c r="Q41"/>
      <c r="S41"/>
    </row>
    <row r="42" spans="1:19" ht="13.9" customHeight="1" x14ac:dyDescent="0.15">
      <c r="D42" s="14"/>
      <c r="E42" s="14"/>
      <c r="F42" s="14"/>
      <c r="G42" s="14"/>
      <c r="H42" s="14"/>
      <c r="I42" s="14"/>
      <c r="J42" s="14"/>
      <c r="K42" s="14"/>
      <c r="L42" s="14"/>
      <c r="M42" s="14"/>
      <c r="Q42"/>
      <c r="S42"/>
    </row>
    <row r="43" spans="1:19" ht="13.9" customHeight="1" x14ac:dyDescent="0.15">
      <c r="D43" s="14"/>
      <c r="E43" s="14"/>
      <c r="F43" s="14"/>
      <c r="G43" s="14"/>
      <c r="H43" s="14"/>
      <c r="I43" s="14"/>
      <c r="J43" s="14"/>
      <c r="K43" s="14"/>
      <c r="L43" s="14"/>
      <c r="M43" s="14"/>
      <c r="Q43"/>
      <c r="S43"/>
    </row>
    <row r="44" spans="1:19" ht="13.9" customHeight="1" x14ac:dyDescent="0.15">
      <c r="D44" s="14"/>
      <c r="E44" s="14"/>
      <c r="F44" s="14"/>
      <c r="G44" s="14"/>
      <c r="H44" s="14"/>
      <c r="I44" s="14"/>
      <c r="J44" s="14"/>
      <c r="K44" s="14"/>
      <c r="L44" s="14"/>
      <c r="M44" s="14"/>
      <c r="Q44"/>
      <c r="S44"/>
    </row>
    <row r="45" spans="1:19" ht="13.9" customHeight="1" x14ac:dyDescent="0.15">
      <c r="D45" s="14"/>
      <c r="E45" s="14"/>
      <c r="F45" s="14"/>
      <c r="G45" s="14"/>
      <c r="H45" s="14"/>
      <c r="I45" s="14"/>
      <c r="J45" s="14"/>
      <c r="K45" s="14"/>
      <c r="L45" s="14"/>
      <c r="M45" s="14"/>
      <c r="Q45"/>
      <c r="S45"/>
    </row>
    <row r="46" spans="1:19" ht="13.9" customHeight="1" x14ac:dyDescent="0.15">
      <c r="D46" s="14"/>
      <c r="E46" s="14"/>
      <c r="F46" s="14"/>
      <c r="G46" s="14"/>
      <c r="H46" s="14"/>
      <c r="I46" s="14"/>
      <c r="J46" s="14"/>
      <c r="K46" s="14"/>
      <c r="L46" s="14"/>
      <c r="M46" s="14"/>
      <c r="Q46"/>
      <c r="S46"/>
    </row>
    <row r="47" spans="1:19" ht="13.9" customHeight="1" x14ac:dyDescent="0.15">
      <c r="Q47"/>
      <c r="S47"/>
    </row>
    <row r="48" spans="1:19" ht="13.9" customHeight="1" x14ac:dyDescent="0.15">
      <c r="Q48"/>
      <c r="S48"/>
    </row>
    <row r="49" spans="17:19" ht="13.9" customHeight="1" x14ac:dyDescent="0.15">
      <c r="Q49"/>
      <c r="S49"/>
    </row>
    <row r="50" spans="17:19" ht="13.9" customHeight="1" x14ac:dyDescent="0.15">
      <c r="Q50"/>
      <c r="S50"/>
    </row>
    <row r="51" spans="17:19" ht="13.9" customHeight="1" x14ac:dyDescent="0.15">
      <c r="Q51"/>
      <c r="S51"/>
    </row>
    <row r="52" spans="17:19" ht="13.9" customHeight="1" x14ac:dyDescent="0.15">
      <c r="Q52"/>
      <c r="S52"/>
    </row>
    <row r="53" spans="17:19" ht="13.9" customHeight="1" x14ac:dyDescent="0.15">
      <c r="Q53"/>
      <c r="S53"/>
    </row>
    <row r="54" spans="17:19" ht="13.9" customHeight="1" x14ac:dyDescent="0.15">
      <c r="Q54"/>
      <c r="S54"/>
    </row>
    <row r="55" spans="17:19" ht="13.9" customHeight="1" x14ac:dyDescent="0.15">
      <c r="Q55"/>
      <c r="S55"/>
    </row>
    <row r="56" spans="17:19" x14ac:dyDescent="0.15">
      <c r="Q56"/>
      <c r="S56"/>
    </row>
    <row r="57" spans="17:19" x14ac:dyDescent="0.15">
      <c r="Q57"/>
      <c r="S57"/>
    </row>
    <row r="58" spans="17:19" x14ac:dyDescent="0.15">
      <c r="Q58"/>
      <c r="S58"/>
    </row>
    <row r="59" spans="17:19" x14ac:dyDescent="0.15">
      <c r="Q59"/>
      <c r="S59"/>
    </row>
    <row r="60" spans="17:19" x14ac:dyDescent="0.15">
      <c r="Q60"/>
      <c r="S60"/>
    </row>
    <row r="61" spans="17:19" x14ac:dyDescent="0.15">
      <c r="Q61"/>
      <c r="S61"/>
    </row>
    <row r="62" spans="17:19" x14ac:dyDescent="0.15">
      <c r="Q62"/>
      <c r="S62"/>
    </row>
    <row r="63" spans="17:19" x14ac:dyDescent="0.15">
      <c r="Q63"/>
      <c r="S63"/>
    </row>
    <row r="64" spans="17:19" x14ac:dyDescent="0.15">
      <c r="Q64"/>
      <c r="S64"/>
    </row>
    <row r="65" spans="17:19" x14ac:dyDescent="0.15">
      <c r="Q65"/>
      <c r="S65"/>
    </row>
    <row r="66" spans="17:19" x14ac:dyDescent="0.15">
      <c r="Q66"/>
      <c r="S66"/>
    </row>
    <row r="67" spans="17:19" x14ac:dyDescent="0.15">
      <c r="Q67"/>
      <c r="S67"/>
    </row>
    <row r="68" spans="17:19" x14ac:dyDescent="0.15">
      <c r="Q68"/>
      <c r="S68"/>
    </row>
    <row r="69" spans="17:19" x14ac:dyDescent="0.15">
      <c r="Q69"/>
      <c r="S69"/>
    </row>
    <row r="70" spans="17:19" x14ac:dyDescent="0.15">
      <c r="Q70"/>
      <c r="S70"/>
    </row>
    <row r="71" spans="17:19" x14ac:dyDescent="0.15">
      <c r="Q71"/>
      <c r="S71"/>
    </row>
    <row r="72" spans="17:19" x14ac:dyDescent="0.15">
      <c r="Q72"/>
      <c r="S72"/>
    </row>
    <row r="73" spans="17:19" x14ac:dyDescent="0.15">
      <c r="Q73"/>
      <c r="S73"/>
    </row>
    <row r="74" spans="17:19" x14ac:dyDescent="0.15">
      <c r="Q74"/>
      <c r="S74"/>
    </row>
    <row r="75" spans="17:19" x14ac:dyDescent="0.15">
      <c r="Q75"/>
      <c r="S75"/>
    </row>
    <row r="76" spans="17:19" x14ac:dyDescent="0.15">
      <c r="Q76"/>
      <c r="S76"/>
    </row>
    <row r="77" spans="17:19" x14ac:dyDescent="0.15">
      <c r="Q77"/>
      <c r="S77"/>
    </row>
    <row r="78" spans="17:19" x14ac:dyDescent="0.15">
      <c r="Q78"/>
      <c r="S78"/>
    </row>
    <row r="79" spans="17:19" x14ac:dyDescent="0.15">
      <c r="Q79"/>
      <c r="S79"/>
    </row>
    <row r="80" spans="17:19" x14ac:dyDescent="0.15">
      <c r="Q80"/>
      <c r="S80"/>
    </row>
    <row r="81" spans="17:19" x14ac:dyDescent="0.15">
      <c r="Q81"/>
      <c r="S81"/>
    </row>
    <row r="82" spans="17:19" x14ac:dyDescent="0.15">
      <c r="Q82"/>
      <c r="S82"/>
    </row>
    <row r="83" spans="17:19" x14ac:dyDescent="0.15">
      <c r="Q83"/>
      <c r="S83"/>
    </row>
    <row r="84" spans="17:19" x14ac:dyDescent="0.15">
      <c r="Q84"/>
      <c r="S84"/>
    </row>
    <row r="85" spans="17:19" x14ac:dyDescent="0.15">
      <c r="Q85"/>
      <c r="S85"/>
    </row>
    <row r="86" spans="17:19" x14ac:dyDescent="0.15">
      <c r="Q86"/>
      <c r="S86"/>
    </row>
    <row r="87" spans="17:19" x14ac:dyDescent="0.15">
      <c r="Q87"/>
      <c r="S87"/>
    </row>
    <row r="88" spans="17:19" x14ac:dyDescent="0.15">
      <c r="Q88"/>
      <c r="S88"/>
    </row>
    <row r="89" spans="17:19" x14ac:dyDescent="0.15">
      <c r="Q89"/>
      <c r="S89"/>
    </row>
    <row r="90" spans="17:19" x14ac:dyDescent="0.15">
      <c r="Q90"/>
      <c r="S90"/>
    </row>
    <row r="91" spans="17:19" x14ac:dyDescent="0.15">
      <c r="Q91"/>
      <c r="S91"/>
    </row>
    <row r="92" spans="17:19" x14ac:dyDescent="0.15">
      <c r="Q92"/>
      <c r="S92"/>
    </row>
    <row r="93" spans="17:19" x14ac:dyDescent="0.15">
      <c r="Q93"/>
      <c r="S93"/>
    </row>
    <row r="94" spans="17:19" x14ac:dyDescent="0.15">
      <c r="Q94"/>
      <c r="S94"/>
    </row>
    <row r="95" spans="17:19" x14ac:dyDescent="0.15">
      <c r="Q95"/>
      <c r="S95"/>
    </row>
    <row r="96" spans="17:19" x14ac:dyDescent="0.15">
      <c r="Q96"/>
      <c r="S96"/>
    </row>
  </sheetData>
  <sortState xmlns:xlrd2="http://schemas.microsoft.com/office/spreadsheetml/2017/richdata2" ref="S1:S96">
    <sortCondition descending="1" ref="S1"/>
  </sortState>
  <mergeCells count="8">
    <mergeCell ref="A1:E1"/>
    <mergeCell ref="K1:N1"/>
    <mergeCell ref="D2:E2"/>
    <mergeCell ref="F2:G2"/>
    <mergeCell ref="H2:I2"/>
    <mergeCell ref="J2:J3"/>
    <mergeCell ref="K2:L2"/>
    <mergeCell ref="M2:N2"/>
  </mergeCells>
  <phoneticPr fontId="1"/>
  <pageMargins left="0.51181102362204722" right="0.51181102362204722" top="0.35433070866141736" bottom="0.35433070866141736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開始">
                <anchor moveWithCells="1" sizeWithCells="1">
                  <from>
                    <xdr:col>14</xdr:col>
                    <xdr:colOff>47625</xdr:colOff>
                    <xdr:row>0</xdr:row>
                    <xdr:rowOff>57150</xdr:rowOff>
                  </from>
                  <to>
                    <xdr:col>14</xdr:col>
                    <xdr:colOff>657225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初期化">
                <anchor moveWithCells="1" sizeWithCells="1">
                  <from>
                    <xdr:col>14</xdr:col>
                    <xdr:colOff>47625</xdr:colOff>
                    <xdr:row>2</xdr:row>
                    <xdr:rowOff>57150</xdr:rowOff>
                  </from>
                  <to>
                    <xdr:col>14</xdr:col>
                    <xdr:colOff>657225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53"/>
  <sheetViews>
    <sheetView topLeftCell="A7" zoomScaleNormal="100" workbookViewId="0">
      <selection activeCell="E17" sqref="E17"/>
    </sheetView>
  </sheetViews>
  <sheetFormatPr defaultRowHeight="13.5" x14ac:dyDescent="0.15"/>
  <cols>
    <col min="1" max="1" width="8.375" customWidth="1"/>
    <col min="2" max="2" width="3.375" bestFit="1" customWidth="1"/>
    <col min="3" max="3" width="3.375" customWidth="1"/>
    <col min="4" max="4" width="13.25" customWidth="1"/>
    <col min="5" max="5" width="9.125" customWidth="1"/>
    <col min="6" max="6" width="7.125" bestFit="1" customWidth="1"/>
    <col min="9" max="9" width="11.5" customWidth="1"/>
    <col min="10" max="10" width="12.5" customWidth="1"/>
  </cols>
  <sheetData>
    <row r="1" spans="1:10" s="39" customFormat="1" ht="17.25" customHeight="1" x14ac:dyDescent="0.15">
      <c r="B1" s="252"/>
      <c r="C1" s="252"/>
      <c r="D1" s="252"/>
      <c r="E1" s="252"/>
      <c r="I1" s="40"/>
    </row>
    <row r="2" spans="1:10" s="39" customFormat="1" ht="12.75" x14ac:dyDescent="0.15">
      <c r="B2" s="253"/>
      <c r="C2" s="253"/>
      <c r="D2" s="253"/>
      <c r="E2" s="253"/>
      <c r="F2" s="253"/>
      <c r="J2" s="40" t="s">
        <v>27</v>
      </c>
    </row>
    <row r="3" spans="1:10" s="39" customFormat="1" ht="12.75" x14ac:dyDescent="0.15">
      <c r="B3" s="254"/>
      <c r="C3" s="254"/>
      <c r="D3" s="254"/>
    </row>
    <row r="4" spans="1:10" s="39" customFormat="1" ht="12.75" x14ac:dyDescent="0.15"/>
    <row r="5" spans="1:10" s="39" customFormat="1" ht="12.75" x14ac:dyDescent="0.15">
      <c r="B5" s="254"/>
      <c r="C5" s="254"/>
      <c r="D5" s="254"/>
      <c r="H5" s="252"/>
      <c r="I5" s="252"/>
      <c r="J5" s="252"/>
    </row>
    <row r="6" spans="1:10" s="39" customFormat="1" ht="12.75" x14ac:dyDescent="0.15">
      <c r="H6" s="264"/>
      <c r="I6" s="252"/>
      <c r="J6" s="252"/>
    </row>
    <row r="7" spans="1:10" s="39" customFormat="1" ht="12.75" x14ac:dyDescent="0.15"/>
    <row r="8" spans="1:10" s="39" customFormat="1" ht="12.75" x14ac:dyDescent="0.15">
      <c r="H8" s="39" t="s">
        <v>26</v>
      </c>
      <c r="I8" s="252"/>
      <c r="J8" s="252"/>
    </row>
    <row r="9" spans="1:10" s="39" customFormat="1" ht="12.75" x14ac:dyDescent="0.15"/>
    <row r="10" spans="1:10" s="39" customFormat="1" ht="12.75" x14ac:dyDescent="0.15"/>
    <row r="11" spans="1:10" s="38" customFormat="1" x14ac:dyDescent="0.15"/>
    <row r="12" spans="1:10" s="38" customFormat="1" x14ac:dyDescent="0.15"/>
    <row r="13" spans="1:10" x14ac:dyDescent="0.15">
      <c r="A13" s="43">
        <f>スケジュール!A3</f>
        <v>4</v>
      </c>
      <c r="B13" s="262" t="s">
        <v>28</v>
      </c>
      <c r="C13" s="263"/>
      <c r="D13" t="s">
        <v>25</v>
      </c>
    </row>
    <row r="15" spans="1:10" ht="18.75" customHeight="1" x14ac:dyDescent="0.15">
      <c r="A15" s="255" t="s">
        <v>24</v>
      </c>
      <c r="B15" s="256"/>
      <c r="C15" s="256"/>
      <c r="D15" s="257"/>
    </row>
    <row r="16" spans="1:10" ht="18.75" customHeight="1" x14ac:dyDescent="0.15">
      <c r="A16" s="258">
        <f>SUM(J21:J44)</f>
        <v>152092</v>
      </c>
      <c r="B16" s="259"/>
      <c r="C16" s="259"/>
      <c r="D16" s="260"/>
    </row>
    <row r="17" spans="1:16" ht="18.75" customHeight="1" x14ac:dyDescent="0.15">
      <c r="A17" s="37"/>
      <c r="B17" s="37"/>
      <c r="C17" s="37"/>
      <c r="D17" s="37"/>
    </row>
    <row r="18" spans="1:16" ht="18.75" customHeight="1" x14ac:dyDescent="0.15">
      <c r="A18" s="37"/>
      <c r="B18" s="37"/>
      <c r="C18" s="37"/>
      <c r="D18" s="37"/>
      <c r="L18" s="42"/>
    </row>
    <row r="19" spans="1:16" x14ac:dyDescent="0.15">
      <c r="A19" s="36" t="s">
        <v>23</v>
      </c>
      <c r="D19" s="261" t="s">
        <v>30</v>
      </c>
      <c r="E19" s="261"/>
    </row>
    <row r="20" spans="1:16" ht="16.5" customHeight="1" x14ac:dyDescent="0.15">
      <c r="B20" s="35"/>
      <c r="C20" s="34"/>
      <c r="D20" s="44" t="s">
        <v>22</v>
      </c>
      <c r="E20" s="45" t="s">
        <v>29</v>
      </c>
      <c r="F20" s="33" t="s">
        <v>21</v>
      </c>
      <c r="G20" s="33" t="s">
        <v>20</v>
      </c>
      <c r="H20" s="33" t="s">
        <v>19</v>
      </c>
      <c r="I20" s="33" t="s">
        <v>18</v>
      </c>
      <c r="J20" s="32" t="s">
        <v>17</v>
      </c>
    </row>
    <row r="21" spans="1:16" ht="12.75" customHeight="1" x14ac:dyDescent="0.15">
      <c r="B21" s="22"/>
      <c r="C21" s="21"/>
      <c r="D21" s="46"/>
      <c r="E21" s="47">
        <v>90</v>
      </c>
      <c r="F21" s="48"/>
      <c r="G21" s="49"/>
      <c r="H21" s="48">
        <v>9</v>
      </c>
      <c r="I21" s="30">
        <f>IF(E21=0,"",IF(E21&gt;0.1,E21*H21*100))</f>
        <v>81000</v>
      </c>
      <c r="J21" s="29">
        <f>IF(E21=0,"",IF(E21&gt;30,I21-(H21*1000),I21*0.9))</f>
        <v>72000</v>
      </c>
      <c r="M21" s="31"/>
    </row>
    <row r="22" spans="1:16" ht="12.75" customHeight="1" x14ac:dyDescent="0.15">
      <c r="B22" s="22"/>
      <c r="C22" s="21"/>
      <c r="D22" s="46"/>
      <c r="E22" s="47">
        <v>60</v>
      </c>
      <c r="F22" s="48"/>
      <c r="G22" s="49"/>
      <c r="H22" s="48">
        <v>1</v>
      </c>
      <c r="I22" s="30">
        <f t="shared" ref="I22:I43" si="0">IF(E22=0,"",IF(E22&gt;0.1,E22*H22*100))</f>
        <v>6000</v>
      </c>
      <c r="J22" s="29">
        <f t="shared" ref="J22:J43" si="1">IF(E22=0,"",IF(E22&gt;30,I22-(H22*1000),I22*0.9))</f>
        <v>5000</v>
      </c>
      <c r="M22" s="31"/>
    </row>
    <row r="23" spans="1:16" ht="12.75" customHeight="1" x14ac:dyDescent="0.15">
      <c r="B23" s="22"/>
      <c r="C23" s="21"/>
      <c r="D23" s="46"/>
      <c r="E23" s="47">
        <v>60</v>
      </c>
      <c r="F23" s="48"/>
      <c r="G23" s="49"/>
      <c r="H23" s="48">
        <v>15</v>
      </c>
      <c r="I23" s="30">
        <f t="shared" si="0"/>
        <v>90000</v>
      </c>
      <c r="J23" s="29">
        <f t="shared" si="1"/>
        <v>75000</v>
      </c>
      <c r="K23" s="22"/>
      <c r="M23" s="31"/>
    </row>
    <row r="24" spans="1:16" ht="12.75" customHeight="1" x14ac:dyDescent="0.15">
      <c r="B24" s="22"/>
      <c r="C24" s="21"/>
      <c r="D24" s="46"/>
      <c r="E24" s="47"/>
      <c r="F24" s="48"/>
      <c r="G24" s="49"/>
      <c r="H24" s="48"/>
      <c r="I24" s="30" t="str">
        <f t="shared" si="0"/>
        <v/>
      </c>
      <c r="J24" s="29" t="str">
        <f t="shared" si="1"/>
        <v/>
      </c>
      <c r="K24" s="22"/>
      <c r="M24" s="31"/>
      <c r="P24" s="41"/>
    </row>
    <row r="25" spans="1:16" ht="12.75" customHeight="1" x14ac:dyDescent="0.15">
      <c r="B25" s="22"/>
      <c r="C25" s="21"/>
      <c r="D25" s="46"/>
      <c r="E25" s="47"/>
      <c r="F25" s="48"/>
      <c r="G25" s="49"/>
      <c r="H25" s="48"/>
      <c r="I25" s="30" t="str">
        <f t="shared" si="0"/>
        <v/>
      </c>
      <c r="J25" s="29" t="str">
        <f t="shared" si="1"/>
        <v/>
      </c>
      <c r="K25" s="22"/>
      <c r="M25" s="31"/>
    </row>
    <row r="26" spans="1:16" ht="12.75" customHeight="1" x14ac:dyDescent="0.15">
      <c r="B26" s="22"/>
      <c r="C26" s="21"/>
      <c r="D26" s="46"/>
      <c r="E26" s="47"/>
      <c r="F26" s="48"/>
      <c r="G26" s="49"/>
      <c r="H26" s="48"/>
      <c r="I26" s="30" t="str">
        <f t="shared" si="0"/>
        <v/>
      </c>
      <c r="J26" s="29" t="str">
        <f t="shared" si="1"/>
        <v/>
      </c>
      <c r="K26" s="22"/>
    </row>
    <row r="27" spans="1:16" ht="12.75" customHeight="1" x14ac:dyDescent="0.15">
      <c r="B27" s="22"/>
      <c r="C27" s="21"/>
      <c r="D27" s="46"/>
      <c r="E27" s="47"/>
      <c r="F27" s="48"/>
      <c r="G27" s="49"/>
      <c r="H27" s="48"/>
      <c r="I27" s="30" t="str">
        <f t="shared" si="0"/>
        <v/>
      </c>
      <c r="J27" s="29" t="str">
        <f t="shared" si="1"/>
        <v/>
      </c>
      <c r="K27" s="22"/>
    </row>
    <row r="28" spans="1:16" ht="12.75" customHeight="1" x14ac:dyDescent="0.15">
      <c r="B28" s="22"/>
      <c r="C28" s="21"/>
      <c r="D28" s="46"/>
      <c r="E28" s="47"/>
      <c r="F28" s="48"/>
      <c r="G28" s="49"/>
      <c r="H28" s="48"/>
      <c r="I28" s="30" t="str">
        <f t="shared" si="0"/>
        <v/>
      </c>
      <c r="J28" s="29" t="str">
        <f t="shared" si="1"/>
        <v/>
      </c>
      <c r="K28" s="22"/>
    </row>
    <row r="29" spans="1:16" ht="12.75" customHeight="1" x14ac:dyDescent="0.15">
      <c r="B29" s="22"/>
      <c r="C29" s="21"/>
      <c r="D29" s="46"/>
      <c r="E29" s="47"/>
      <c r="F29" s="48"/>
      <c r="G29" s="49"/>
      <c r="H29" s="48"/>
      <c r="I29" s="30" t="str">
        <f t="shared" si="0"/>
        <v/>
      </c>
      <c r="J29" s="29" t="str">
        <f t="shared" si="1"/>
        <v/>
      </c>
      <c r="K29" s="28"/>
    </row>
    <row r="30" spans="1:16" ht="12.75" customHeight="1" x14ac:dyDescent="0.15">
      <c r="B30" s="22"/>
      <c r="C30" s="21"/>
      <c r="D30" s="46"/>
      <c r="E30" s="47"/>
      <c r="F30" s="48"/>
      <c r="G30" s="49"/>
      <c r="H30" s="48"/>
      <c r="I30" s="30" t="str">
        <f t="shared" si="0"/>
        <v/>
      </c>
      <c r="J30" s="29" t="str">
        <f t="shared" si="1"/>
        <v/>
      </c>
      <c r="K30" s="28"/>
    </row>
    <row r="31" spans="1:16" ht="12.75" customHeight="1" x14ac:dyDescent="0.15">
      <c r="B31" s="22"/>
      <c r="C31" s="21"/>
      <c r="D31" s="46"/>
      <c r="E31" s="47"/>
      <c r="F31" s="48"/>
      <c r="G31" s="49"/>
      <c r="H31" s="48"/>
      <c r="I31" s="30" t="str">
        <f t="shared" si="0"/>
        <v/>
      </c>
      <c r="J31" s="29" t="str">
        <f t="shared" si="1"/>
        <v/>
      </c>
      <c r="K31" s="28"/>
    </row>
    <row r="32" spans="1:16" ht="12.75" customHeight="1" x14ac:dyDescent="0.15">
      <c r="B32" s="22"/>
      <c r="C32" s="21"/>
      <c r="D32" s="46"/>
      <c r="E32" s="47"/>
      <c r="F32" s="48"/>
      <c r="G32" s="49"/>
      <c r="H32" s="48"/>
      <c r="I32" s="30" t="str">
        <f t="shared" si="0"/>
        <v/>
      </c>
      <c r="J32" s="29" t="str">
        <f t="shared" si="1"/>
        <v/>
      </c>
      <c r="K32" s="28"/>
    </row>
    <row r="33" spans="1:16" ht="12.75" customHeight="1" x14ac:dyDescent="0.15">
      <c r="B33" s="22"/>
      <c r="C33" s="21"/>
      <c r="D33" s="46"/>
      <c r="E33" s="47"/>
      <c r="F33" s="48"/>
      <c r="G33" s="49"/>
      <c r="H33" s="48"/>
      <c r="I33" s="30" t="str">
        <f t="shared" si="0"/>
        <v/>
      </c>
      <c r="J33" s="29" t="str">
        <f t="shared" si="1"/>
        <v/>
      </c>
      <c r="M33" s="31"/>
    </row>
    <row r="34" spans="1:16" ht="12.75" customHeight="1" x14ac:dyDescent="0.15">
      <c r="B34" s="22"/>
      <c r="C34" s="21"/>
      <c r="D34" s="46"/>
      <c r="E34" s="47"/>
      <c r="F34" s="48"/>
      <c r="G34" s="49"/>
      <c r="H34" s="48"/>
      <c r="I34" s="30" t="str">
        <f t="shared" si="0"/>
        <v/>
      </c>
      <c r="J34" s="29" t="str">
        <f t="shared" si="1"/>
        <v/>
      </c>
      <c r="M34" s="31"/>
    </row>
    <row r="35" spans="1:16" ht="12.75" customHeight="1" x14ac:dyDescent="0.15">
      <c r="B35" s="22"/>
      <c r="C35" s="21"/>
      <c r="D35" s="46"/>
      <c r="E35" s="47"/>
      <c r="F35" s="48"/>
      <c r="G35" s="49"/>
      <c r="H35" s="48"/>
      <c r="I35" s="30" t="str">
        <f t="shared" si="0"/>
        <v/>
      </c>
      <c r="J35" s="29" t="str">
        <f t="shared" si="1"/>
        <v/>
      </c>
      <c r="K35" s="22"/>
      <c r="M35" s="31"/>
    </row>
    <row r="36" spans="1:16" ht="12.75" customHeight="1" x14ac:dyDescent="0.15">
      <c r="B36" s="22"/>
      <c r="C36" s="21"/>
      <c r="D36" s="46"/>
      <c r="E36" s="47"/>
      <c r="F36" s="48"/>
      <c r="G36" s="49"/>
      <c r="H36" s="48"/>
      <c r="I36" s="30" t="str">
        <f t="shared" si="0"/>
        <v/>
      </c>
      <c r="J36" s="29" t="str">
        <f t="shared" si="1"/>
        <v/>
      </c>
      <c r="K36" s="22"/>
      <c r="M36" s="31"/>
      <c r="P36" s="41"/>
    </row>
    <row r="37" spans="1:16" ht="12.75" customHeight="1" x14ac:dyDescent="0.15">
      <c r="B37" s="22"/>
      <c r="C37" s="21"/>
      <c r="D37" s="46"/>
      <c r="E37" s="47"/>
      <c r="F37" s="48"/>
      <c r="G37" s="49"/>
      <c r="H37" s="48"/>
      <c r="I37" s="30" t="str">
        <f t="shared" si="0"/>
        <v/>
      </c>
      <c r="J37" s="29" t="str">
        <f t="shared" si="1"/>
        <v/>
      </c>
      <c r="K37" s="22"/>
      <c r="M37" s="31"/>
    </row>
    <row r="38" spans="1:16" ht="12.75" customHeight="1" x14ac:dyDescent="0.15">
      <c r="B38" s="22"/>
      <c r="C38" s="21"/>
      <c r="D38" s="46"/>
      <c r="E38" s="47"/>
      <c r="F38" s="48"/>
      <c r="G38" s="49"/>
      <c r="H38" s="48"/>
      <c r="I38" s="30" t="str">
        <f t="shared" si="0"/>
        <v/>
      </c>
      <c r="J38" s="29" t="str">
        <f t="shared" si="1"/>
        <v/>
      </c>
      <c r="K38" s="22"/>
    </row>
    <row r="39" spans="1:16" ht="12.75" customHeight="1" x14ac:dyDescent="0.15">
      <c r="B39" s="22"/>
      <c r="C39" s="21"/>
      <c r="D39" s="46"/>
      <c r="E39" s="47"/>
      <c r="F39" s="48"/>
      <c r="G39" s="49"/>
      <c r="H39" s="48"/>
      <c r="I39" s="30" t="str">
        <f t="shared" si="0"/>
        <v/>
      </c>
      <c r="J39" s="29" t="str">
        <f t="shared" si="1"/>
        <v/>
      </c>
      <c r="K39" s="22"/>
    </row>
    <row r="40" spans="1:16" ht="12.75" customHeight="1" x14ac:dyDescent="0.15">
      <c r="B40" s="22"/>
      <c r="C40" s="21"/>
      <c r="D40" s="46"/>
      <c r="E40" s="47"/>
      <c r="F40" s="48"/>
      <c r="G40" s="49"/>
      <c r="H40" s="48"/>
      <c r="I40" s="30" t="str">
        <f t="shared" si="0"/>
        <v/>
      </c>
      <c r="J40" s="29" t="str">
        <f t="shared" si="1"/>
        <v/>
      </c>
      <c r="K40" s="22"/>
    </row>
    <row r="41" spans="1:16" ht="12.75" customHeight="1" x14ac:dyDescent="0.15">
      <c r="B41" s="22"/>
      <c r="C41" s="21"/>
      <c r="D41" s="50"/>
      <c r="E41" s="47"/>
      <c r="F41" s="48"/>
      <c r="G41" s="49"/>
      <c r="H41" s="48"/>
      <c r="I41" s="30" t="str">
        <f t="shared" si="0"/>
        <v/>
      </c>
      <c r="J41" s="29" t="str">
        <f t="shared" si="1"/>
        <v/>
      </c>
      <c r="K41" s="28"/>
    </row>
    <row r="42" spans="1:16" ht="12.75" customHeight="1" x14ac:dyDescent="0.15">
      <c r="B42" s="22"/>
      <c r="C42" s="21"/>
      <c r="D42" s="50"/>
      <c r="E42" s="47"/>
      <c r="F42" s="48"/>
      <c r="G42" s="49"/>
      <c r="H42" s="48"/>
      <c r="I42" s="30" t="str">
        <f t="shared" si="0"/>
        <v/>
      </c>
      <c r="J42" s="29" t="str">
        <f t="shared" si="1"/>
        <v/>
      </c>
      <c r="K42" s="28"/>
    </row>
    <row r="43" spans="1:16" ht="12.75" customHeight="1" x14ac:dyDescent="0.15">
      <c r="B43" s="22"/>
      <c r="C43" s="21"/>
      <c r="D43" s="50"/>
      <c r="E43" s="47"/>
      <c r="F43" s="48"/>
      <c r="G43" s="49"/>
      <c r="H43" s="48"/>
      <c r="I43" s="30" t="str">
        <f t="shared" si="0"/>
        <v/>
      </c>
      <c r="J43" s="29" t="str">
        <f t="shared" si="1"/>
        <v/>
      </c>
      <c r="K43" s="28"/>
    </row>
    <row r="44" spans="1:16" ht="12.75" customHeight="1" x14ac:dyDescent="0.15">
      <c r="B44" s="22"/>
      <c r="C44" s="21"/>
      <c r="D44" s="50"/>
      <c r="E44" s="47"/>
      <c r="F44" s="48"/>
      <c r="G44" s="49"/>
      <c r="H44" s="48"/>
      <c r="I44" s="30">
        <v>92</v>
      </c>
      <c r="J44" s="29">
        <v>92</v>
      </c>
      <c r="K44" s="28"/>
    </row>
    <row r="45" spans="1:16" x14ac:dyDescent="0.15">
      <c r="E45" s="22"/>
      <c r="G45" t="s">
        <v>16</v>
      </c>
      <c r="H45" s="251" t="s">
        <v>15</v>
      </c>
      <c r="I45" s="251"/>
      <c r="J45" s="251"/>
      <c r="K45" s="22"/>
    </row>
    <row r="46" spans="1:16" x14ac:dyDescent="0.15">
      <c r="E46" s="22"/>
      <c r="G46" t="s">
        <v>14</v>
      </c>
      <c r="H46" s="251" t="s">
        <v>13</v>
      </c>
      <c r="I46" s="251"/>
      <c r="J46" s="251"/>
      <c r="K46" s="22"/>
    </row>
    <row r="47" spans="1:16" x14ac:dyDescent="0.15">
      <c r="A47" s="27"/>
      <c r="B47" s="26"/>
      <c r="C47" s="26"/>
      <c r="D47" s="26"/>
      <c r="E47" s="26"/>
      <c r="F47" s="26"/>
      <c r="G47" s="26" t="s">
        <v>12</v>
      </c>
      <c r="H47" s="26"/>
      <c r="I47" s="26"/>
      <c r="J47" s="25"/>
      <c r="K47" s="22"/>
    </row>
    <row r="48" spans="1:16" x14ac:dyDescent="0.15">
      <c r="A48" s="23"/>
      <c r="B48" s="22"/>
      <c r="C48" s="22"/>
      <c r="D48" s="22"/>
      <c r="E48" s="250"/>
      <c r="F48" s="250"/>
      <c r="G48" s="22"/>
      <c r="H48" s="22"/>
      <c r="I48" s="22"/>
      <c r="J48" s="24"/>
    </row>
    <row r="49" spans="1:10" x14ac:dyDescent="0.15">
      <c r="A49" s="23"/>
      <c r="B49" s="22"/>
      <c r="C49" s="22"/>
      <c r="D49" s="22"/>
      <c r="E49" s="22"/>
      <c r="F49" s="22"/>
      <c r="G49" s="22"/>
      <c r="H49" s="22"/>
      <c r="I49" s="22"/>
      <c r="J49" s="21"/>
    </row>
    <row r="50" spans="1:10" x14ac:dyDescent="0.15">
      <c r="A50" s="20"/>
      <c r="B50" s="19"/>
      <c r="C50" s="19"/>
      <c r="D50" s="19"/>
      <c r="E50" s="19"/>
      <c r="F50" s="19"/>
      <c r="G50" s="19"/>
      <c r="H50" s="19"/>
      <c r="I50" s="19"/>
      <c r="J50" s="18"/>
    </row>
    <row r="52" spans="1:10" ht="15" customHeight="1" x14ac:dyDescent="0.15">
      <c r="J52" s="17" t="s">
        <v>11</v>
      </c>
    </row>
    <row r="53" spans="1:10" ht="55.5" customHeight="1" x14ac:dyDescent="0.15">
      <c r="J53" s="10"/>
    </row>
  </sheetData>
  <mergeCells count="14">
    <mergeCell ref="E48:F48"/>
    <mergeCell ref="H45:J45"/>
    <mergeCell ref="B1:E1"/>
    <mergeCell ref="B2:F2"/>
    <mergeCell ref="B5:D5"/>
    <mergeCell ref="B3:D3"/>
    <mergeCell ref="A15:D15"/>
    <mergeCell ref="A16:D16"/>
    <mergeCell ref="D19:E19"/>
    <mergeCell ref="B13:C13"/>
    <mergeCell ref="H46:J46"/>
    <mergeCell ref="H5:J5"/>
    <mergeCell ref="H6:J6"/>
    <mergeCell ref="I8:J8"/>
  </mergeCells>
  <phoneticPr fontId="1"/>
  <pageMargins left="0.59055118110236227" right="0.70866141732283472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A4B4F-4B8F-4332-9209-4AC0625DD520}">
  <dimension ref="A1:S41"/>
  <sheetViews>
    <sheetView topLeftCell="A19" zoomScale="95" zoomScaleNormal="95" workbookViewId="0">
      <selection activeCell="B21" sqref="B21"/>
    </sheetView>
  </sheetViews>
  <sheetFormatPr defaultRowHeight="13.5" x14ac:dyDescent="0.15"/>
  <cols>
    <col min="1" max="1" width="8.375" customWidth="1"/>
    <col min="2" max="2" width="13.25" customWidth="1"/>
    <col min="3" max="3" width="9.125" customWidth="1"/>
    <col min="4" max="5" width="7.125" bestFit="1" customWidth="1"/>
    <col min="8" max="8" width="11.5" customWidth="1"/>
    <col min="9" max="9" width="12.5" customWidth="1"/>
  </cols>
  <sheetData>
    <row r="1" spans="1:9" s="133" customFormat="1" ht="17.25" customHeight="1" x14ac:dyDescent="0.15">
      <c r="B1" s="252"/>
      <c r="C1" s="252"/>
      <c r="D1" s="238"/>
      <c r="H1" s="40"/>
    </row>
    <row r="2" spans="1:9" s="133" customFormat="1" ht="12.75" x14ac:dyDescent="0.15">
      <c r="B2" s="253"/>
      <c r="C2" s="253"/>
      <c r="D2" s="253"/>
      <c r="E2" s="253"/>
      <c r="I2" s="40" t="s">
        <v>27</v>
      </c>
    </row>
    <row r="3" spans="1:9" s="133" customFormat="1" ht="12.75" x14ac:dyDescent="0.15">
      <c r="B3" s="239"/>
      <c r="C3" s="133" t="s">
        <v>66</v>
      </c>
      <c r="D3" s="238"/>
    </row>
    <row r="4" spans="1:9" s="133" customFormat="1" ht="12.75" x14ac:dyDescent="0.15">
      <c r="D4" s="238"/>
    </row>
    <row r="5" spans="1:9" s="133" customFormat="1" ht="12.75" x14ac:dyDescent="0.15">
      <c r="B5" s="239"/>
      <c r="C5" s="133" t="s">
        <v>0</v>
      </c>
      <c r="D5" s="238"/>
      <c r="G5" s="252"/>
      <c r="H5" s="252"/>
      <c r="I5" s="252"/>
    </row>
    <row r="6" spans="1:9" s="133" customFormat="1" ht="12.75" x14ac:dyDescent="0.15">
      <c r="D6" s="238"/>
      <c r="G6" s="264" t="s">
        <v>67</v>
      </c>
      <c r="H6" s="252"/>
      <c r="I6" s="252"/>
    </row>
    <row r="7" spans="1:9" s="133" customFormat="1" ht="12.75" x14ac:dyDescent="0.15">
      <c r="D7" s="238"/>
    </row>
    <row r="8" spans="1:9" s="133" customFormat="1" ht="12.75" x14ac:dyDescent="0.15">
      <c r="D8" s="238"/>
      <c r="G8" s="133" t="s">
        <v>26</v>
      </c>
      <c r="H8" s="252"/>
      <c r="I8" s="252"/>
    </row>
    <row r="9" spans="1:9" s="133" customFormat="1" ht="12.75" x14ac:dyDescent="0.15">
      <c r="D9" s="238"/>
    </row>
    <row r="10" spans="1:9" s="133" customFormat="1" ht="12.75" x14ac:dyDescent="0.15">
      <c r="D10" s="238"/>
    </row>
    <row r="11" spans="1:9" s="38" customFormat="1" x14ac:dyDescent="0.15"/>
    <row r="12" spans="1:9" s="38" customFormat="1" x14ac:dyDescent="0.15"/>
    <row r="13" spans="1:9" x14ac:dyDescent="0.15">
      <c r="A13" t="s">
        <v>73</v>
      </c>
    </row>
    <row r="15" spans="1:9" ht="18.75" customHeight="1" x14ac:dyDescent="0.15">
      <c r="A15" s="255" t="s">
        <v>24</v>
      </c>
      <c r="B15" s="257"/>
    </row>
    <row r="16" spans="1:9" ht="18.75" customHeight="1" x14ac:dyDescent="0.15">
      <c r="A16" s="258">
        <f>SUM(I21:I32)</f>
        <v>120000</v>
      </c>
      <c r="B16" s="260"/>
    </row>
    <row r="17" spans="1:19" ht="18.75" customHeight="1" x14ac:dyDescent="0.15">
      <c r="A17" s="13"/>
      <c r="B17" s="13"/>
      <c r="K17" t="str">
        <f>IF(M17="内山",施術内訳書!Z9,"")</f>
        <v/>
      </c>
      <c r="M17" t="str">
        <f>IF(施術内訳書!U9="村上","村上","")</f>
        <v/>
      </c>
      <c r="N17" t="str">
        <f>IF(M17="村上",施術内訳書!V9,"")</f>
        <v/>
      </c>
      <c r="O17" t="str">
        <f>IF(M17="村上",施術内訳書!Z9,"")</f>
        <v/>
      </c>
    </row>
    <row r="18" spans="1:19" ht="18.75" customHeight="1" x14ac:dyDescent="0.15">
      <c r="A18" s="13"/>
      <c r="B18" s="13"/>
      <c r="M18" t="str">
        <f>IF(施術内訳書!U10="村上","村上","")</f>
        <v>村上</v>
      </c>
      <c r="N18">
        <f>IF(M18="村上",施術内訳書!V10,"")</f>
        <v>60</v>
      </c>
      <c r="O18">
        <f>IF(M18="村上",施術内訳書!Z10,"")</f>
        <v>17</v>
      </c>
      <c r="P18" t="str">
        <f>IF(施術内訳書!U21="村上","村上","")</f>
        <v/>
      </c>
      <c r="Q18">
        <v>0</v>
      </c>
      <c r="R18">
        <f>施術内訳書!AA21</f>
        <v>0</v>
      </c>
    </row>
    <row r="19" spans="1:19" x14ac:dyDescent="0.15">
      <c r="A19" s="36" t="s">
        <v>23</v>
      </c>
      <c r="B19" s="261" t="s">
        <v>132</v>
      </c>
      <c r="C19" s="261"/>
      <c r="M19" t="str">
        <f>IF(施術内訳書!U11="村上","村上","")</f>
        <v/>
      </c>
      <c r="N19" t="str">
        <f>IF(M19="村上",施術内訳書!V11,"")</f>
        <v/>
      </c>
      <c r="O19" t="str">
        <f>IF(M19="村上",施術内訳書!Z11,"")</f>
        <v/>
      </c>
      <c r="P19" t="str">
        <f>IF(施術内訳書!U22="村上","村上","")</f>
        <v/>
      </c>
      <c r="Q19">
        <v>0</v>
      </c>
      <c r="R19">
        <f>施術内訳書!AA22</f>
        <v>0</v>
      </c>
      <c r="S19" s="134"/>
    </row>
    <row r="20" spans="1:19" ht="16.5" customHeight="1" x14ac:dyDescent="0.15">
      <c r="B20" s="266" t="s">
        <v>22</v>
      </c>
      <c r="C20" s="267"/>
      <c r="D20" s="33" t="s">
        <v>131</v>
      </c>
      <c r="E20" s="33" t="s">
        <v>21</v>
      </c>
      <c r="F20" s="33" t="s">
        <v>20</v>
      </c>
      <c r="G20" s="33" t="s">
        <v>19</v>
      </c>
      <c r="H20" s="33" t="s">
        <v>18</v>
      </c>
      <c r="I20" s="32" t="s">
        <v>17</v>
      </c>
      <c r="M20" t="str">
        <f>IF(施術内訳書!U12="村上","村上","")</f>
        <v/>
      </c>
      <c r="N20" t="str">
        <f>IF(M20="村上",施術内訳書!V12,"")</f>
        <v/>
      </c>
      <c r="O20" t="str">
        <f>IF(M20="村上",施術内訳書!Z12,"")</f>
        <v/>
      </c>
      <c r="P20" t="str">
        <f>IF(施術内訳書!U23="村上","村上","")</f>
        <v/>
      </c>
      <c r="Q20">
        <v>0</v>
      </c>
      <c r="R20">
        <f>施術内訳書!AA23</f>
        <v>0</v>
      </c>
    </row>
    <row r="21" spans="1:19" ht="25.5" customHeight="1" x14ac:dyDescent="0.15">
      <c r="B21" s="139" t="str">
        <f>IF(C21="","","正田　喜子")</f>
        <v>正田　喜子</v>
      </c>
      <c r="C21" s="138" cm="1">
        <f t="array" ref="C21">IFERROR(_xlfn.UNIQUE(_xlfn._xlws.FILTER($N$17:$N$28,$M$17:$M$28="村上")),"")</f>
        <v>60</v>
      </c>
      <c r="D21" s="141" t="str">
        <f>IF(C21="","","村上")</f>
        <v>村上</v>
      </c>
      <c r="E21" s="141" t="str">
        <f>IF(C21="","","5")</f>
        <v>5</v>
      </c>
      <c r="F21" s="142" t="str">
        <f>IF(C21="","","1.8")</f>
        <v>1.8</v>
      </c>
      <c r="G21" s="136">
        <f>IFERROR(IF(AND(IFERROR(MATCH($C21,$N:$N,0),"")&lt;&gt;"",IFERROR(MATCH($C21,$Q:$Q,0),"")&lt;&gt;""),INDEX($N:$R,MATCH($C21,$N:$N,0),5),IF(OR(IFERROR(MATCH($C21,$N:$N,0),"")&lt;&gt;"",IFERROR(MATCH($C21,$Q:$Q,0),"")&lt;&gt;""),INDEX($N:$O,MATCH($C21,$N:$N,0),2))),"")</f>
        <v>17</v>
      </c>
      <c r="H21" s="30">
        <f>IF(C21="","",G21*C21*100)</f>
        <v>102000</v>
      </c>
      <c r="I21" s="29">
        <f>IF(C21="","",G21*C21*100)</f>
        <v>102000</v>
      </c>
      <c r="K21" t="str">
        <f>IF(M21="内山",施術内訳書!V13,"")</f>
        <v/>
      </c>
      <c r="L21" s="31"/>
      <c r="M21" t="str">
        <f>IF(施術内訳書!U13="村上","村上","")</f>
        <v/>
      </c>
      <c r="N21" t="str">
        <f>IF(M21="村上",施術内訳書!V13,"")</f>
        <v/>
      </c>
      <c r="O21" t="str">
        <f>IF(M21="村上",施術内訳書!Z13,"")</f>
        <v/>
      </c>
      <c r="P21" t="str">
        <f>IF(施術内訳書!U24="村上","村上","")</f>
        <v/>
      </c>
      <c r="Q21">
        <v>0</v>
      </c>
      <c r="R21">
        <f>施術内訳書!AA24</f>
        <v>0</v>
      </c>
      <c r="S21" t="str">
        <f>IF(C21="","","分")</f>
        <v>分</v>
      </c>
    </row>
    <row r="22" spans="1:19" ht="25.5" customHeight="1" x14ac:dyDescent="0.15">
      <c r="B22" s="139" t="str">
        <f t="shared" ref="B22:B23" si="0">IF(C22="","","正田　喜子")</f>
        <v/>
      </c>
      <c r="C22" s="138"/>
      <c r="D22" s="141" t="str">
        <f t="shared" ref="D22:D23" si="1">IF(C22="","","村上")</f>
        <v/>
      </c>
      <c r="E22" s="141" t="str">
        <f>IF(C22="","","5")</f>
        <v/>
      </c>
      <c r="F22" s="142" t="str">
        <f t="shared" ref="F22:F23" si="2">IF(C22="","","1.8")</f>
        <v/>
      </c>
      <c r="G22" s="136" t="str">
        <f t="shared" ref="G22:G23" si="3">IFERROR(IF(AND(IFERROR(MATCH($C22,$N:$N,0),"")&lt;&gt;"",IFERROR(MATCH($C22,$Q:$Q,0),"")&lt;&gt;""),INDEX($N:$R,MATCH($C22,$N:$N,0),5),IF(OR(IFERROR(MATCH($C22,$N:$N,0),"")&lt;&gt;"",IFERROR(MATCH($C22,$Q:$Q,0),"")&lt;&gt;""),INDEX($N:$O,MATCH($C22,$N:$N,0),2))),"")</f>
        <v/>
      </c>
      <c r="H22" s="30" t="str">
        <f t="shared" ref="H22:H25" si="4">IF(C22="","",G22*C22*100)</f>
        <v/>
      </c>
      <c r="I22" s="29" t="str">
        <f t="shared" ref="I22:I26" si="5">IF(C22="","",G22*C22*100)</f>
        <v/>
      </c>
      <c r="K22" t="str">
        <f>IF(M22="内山",施術内訳書!V14,"")</f>
        <v/>
      </c>
      <c r="L22" s="144"/>
      <c r="M22" t="str">
        <f>IF(施術内訳書!U14="村上","村上","")</f>
        <v/>
      </c>
      <c r="N22" t="str">
        <f>IF(M22="村上",施術内訳書!V14,"")</f>
        <v/>
      </c>
      <c r="O22" t="str">
        <f>IF(M22="村上",施術内訳書!Z14,"")</f>
        <v/>
      </c>
      <c r="P22" t="str">
        <f>IF(施術内訳書!U25="村上","村上","")</f>
        <v/>
      </c>
      <c r="Q22">
        <v>0</v>
      </c>
      <c r="R22">
        <f>施術内訳書!AA25</f>
        <v>0</v>
      </c>
      <c r="S22" t="str">
        <f t="shared" ref="S22:S26" si="6">IF(C22="","","分")</f>
        <v/>
      </c>
    </row>
    <row r="23" spans="1:19" ht="25.5" customHeight="1" x14ac:dyDescent="0.15">
      <c r="B23" s="139" t="str">
        <f t="shared" si="0"/>
        <v/>
      </c>
      <c r="C23" s="138"/>
      <c r="D23" s="141" t="str">
        <f t="shared" si="1"/>
        <v/>
      </c>
      <c r="E23" s="141" t="str">
        <f t="shared" ref="E23" si="7">IF(C23="","","5")</f>
        <v/>
      </c>
      <c r="F23" s="142" t="str">
        <f t="shared" si="2"/>
        <v/>
      </c>
      <c r="G23" s="136" t="str">
        <f t="shared" si="3"/>
        <v/>
      </c>
      <c r="H23" s="30" t="str">
        <f t="shared" si="4"/>
        <v/>
      </c>
      <c r="I23" s="29" t="str">
        <f t="shared" si="5"/>
        <v/>
      </c>
      <c r="L23" s="143"/>
      <c r="M23" t="str">
        <f>IF(施術内訳書!U15="村上","村上","")</f>
        <v/>
      </c>
      <c r="N23" t="str">
        <f>IF(M23="村上",施術内訳書!V15,"")</f>
        <v/>
      </c>
      <c r="O23" t="str">
        <f>IF(M23="村上",施術内訳書!Z15,"")</f>
        <v/>
      </c>
      <c r="S23" t="str">
        <f t="shared" si="6"/>
        <v/>
      </c>
    </row>
    <row r="24" spans="1:19" ht="25.5" customHeight="1" x14ac:dyDescent="0.15">
      <c r="B24" s="139" t="str">
        <f>'請求書福岡 (2)'!B21</f>
        <v>正田　喜子</v>
      </c>
      <c r="C24" s="244">
        <f>IF('請求書福岡 (2)'!C21=0,"",'請求書福岡 (2)'!C21)</f>
        <v>45</v>
      </c>
      <c r="D24" s="141" t="str">
        <f>'請求書福岡 (2)'!D21</f>
        <v>内山</v>
      </c>
      <c r="E24" s="141" t="str">
        <f>'請求書福岡 (2)'!E21</f>
        <v>5</v>
      </c>
      <c r="F24" s="142" t="str">
        <f>'請求書福岡 (2)'!F21</f>
        <v>1.8</v>
      </c>
      <c r="G24" s="136">
        <f>'請求書福岡 (2)'!G21</f>
        <v>4</v>
      </c>
      <c r="H24" s="30">
        <f t="shared" si="4"/>
        <v>18000</v>
      </c>
      <c r="I24" s="29">
        <f t="shared" si="5"/>
        <v>18000</v>
      </c>
      <c r="L24" s="31"/>
      <c r="M24" t="str">
        <f>IF(施術内訳書!U16="村上","村上","")</f>
        <v/>
      </c>
      <c r="N24" t="str">
        <f>IF(M24="村上",施術内訳書!V16,"")</f>
        <v/>
      </c>
      <c r="O24" t="str">
        <f>IF(M24="村上",施術内訳書!Z16,"")</f>
        <v/>
      </c>
      <c r="S24" t="str">
        <f t="shared" si="6"/>
        <v>分</v>
      </c>
    </row>
    <row r="25" spans="1:19" ht="25.5" customHeight="1" x14ac:dyDescent="0.15">
      <c r="B25" s="139" t="str">
        <f>'請求書福岡 (2)'!B22</f>
        <v/>
      </c>
      <c r="C25" s="244" t="str">
        <f>IF('請求書福岡 (2)'!C22=0,"",'請求書福岡 (2)'!C22)</f>
        <v/>
      </c>
      <c r="D25" s="141" t="str">
        <f>'請求書福岡 (2)'!D22</f>
        <v/>
      </c>
      <c r="E25" s="141" t="str">
        <f>'請求書福岡 (2)'!E22</f>
        <v/>
      </c>
      <c r="F25" s="142" t="str">
        <f>'請求書福岡 (2)'!F22</f>
        <v/>
      </c>
      <c r="G25" s="136" t="str">
        <f>'請求書福岡 (2)'!G22</f>
        <v/>
      </c>
      <c r="H25" s="30" t="str">
        <f t="shared" si="4"/>
        <v/>
      </c>
      <c r="I25" s="29" t="str">
        <f t="shared" si="5"/>
        <v/>
      </c>
      <c r="L25" s="31"/>
      <c r="M25" t="str">
        <f>IF(施術内訳書!U17="村上","村上","")</f>
        <v/>
      </c>
      <c r="N25" t="str">
        <f>IF(M25="村上",施術内訳書!V17,"")</f>
        <v/>
      </c>
      <c r="O25" t="str">
        <f>IF(M25="村上",施術内訳書!Z17,"")</f>
        <v/>
      </c>
      <c r="S25" t="str">
        <f t="shared" si="6"/>
        <v/>
      </c>
    </row>
    <row r="26" spans="1:19" ht="25.5" customHeight="1" x14ac:dyDescent="0.15">
      <c r="B26" s="139" t="str">
        <f>'請求書福岡 (2)'!B23</f>
        <v/>
      </c>
      <c r="C26" s="244" t="str">
        <f>IF('請求書福岡 (2)'!C23=0,"",'請求書福岡 (2)'!C23)</f>
        <v/>
      </c>
      <c r="D26" s="141" t="str">
        <f>'請求書福岡 (2)'!D23</f>
        <v/>
      </c>
      <c r="E26" s="141" t="str">
        <f>'請求書福岡 (2)'!E23</f>
        <v/>
      </c>
      <c r="F26" s="142" t="str">
        <f>'請求書福岡 (2)'!F23</f>
        <v/>
      </c>
      <c r="G26" s="136" t="str">
        <f>'請求書福岡 (2)'!G23</f>
        <v/>
      </c>
      <c r="H26" s="30" t="str">
        <f>IF(C26="","",G26*C26*100)</f>
        <v/>
      </c>
      <c r="I26" s="29" t="str">
        <f t="shared" si="5"/>
        <v/>
      </c>
      <c r="M26" t="str">
        <f>IF(施術内訳書!U18="村上","村上","")</f>
        <v/>
      </c>
      <c r="N26" t="str">
        <f>IF(M26="村上",施術内訳書!V18,"")</f>
        <v/>
      </c>
      <c r="O26" t="str">
        <f>IF(M26="村上",施術内訳書!Z18,"")</f>
        <v/>
      </c>
      <c r="S26" t="str">
        <f t="shared" si="6"/>
        <v/>
      </c>
    </row>
    <row r="27" spans="1:19" ht="25.5" customHeight="1" x14ac:dyDescent="0.15">
      <c r="B27" s="241"/>
      <c r="C27" s="242"/>
      <c r="D27" s="136"/>
      <c r="E27" s="136"/>
      <c r="F27" s="137"/>
      <c r="G27" s="136"/>
      <c r="H27" s="30" t="str">
        <f>IF(G27="","",G27*94)</f>
        <v/>
      </c>
      <c r="I27" s="30" t="str">
        <f>IF(G27="","",G27*94)</f>
        <v/>
      </c>
      <c r="M27" t="str">
        <f>IF(施術内訳書!U19="村上","村上","")</f>
        <v/>
      </c>
      <c r="N27" t="str">
        <f>IF(M27="村上",施術内訳書!V19,"")</f>
        <v/>
      </c>
      <c r="O27" t="str">
        <f>IF(M27="村上",施術内訳書!Z19,"")</f>
        <v/>
      </c>
      <c r="R27" s="22"/>
    </row>
    <row r="28" spans="1:19" ht="25.5" customHeight="1" x14ac:dyDescent="0.15">
      <c r="B28" s="268"/>
      <c r="C28" s="269"/>
      <c r="D28" s="136"/>
      <c r="E28" s="136"/>
      <c r="F28" s="137"/>
      <c r="G28" s="136"/>
      <c r="H28" s="30" t="str">
        <f>IF(G28="","",G28*600)</f>
        <v/>
      </c>
      <c r="I28" s="29" t="str">
        <f>IF(G28="","",G28*600)</f>
        <v/>
      </c>
      <c r="M28" t="str">
        <f>IF(施術内訳書!U20="村上","村上","")</f>
        <v/>
      </c>
      <c r="N28" t="str">
        <f>IF(M28="村上",施術内訳書!V20,"")</f>
        <v/>
      </c>
      <c r="O28" t="str">
        <f>IF(M28="村上",施術内訳書!Z20,"")</f>
        <v/>
      </c>
    </row>
    <row r="29" spans="1:19" ht="25.5" customHeight="1" x14ac:dyDescent="0.15">
      <c r="B29" s="268"/>
      <c r="C29" s="269"/>
      <c r="D29" s="136"/>
      <c r="E29" s="136"/>
      <c r="F29" s="137"/>
      <c r="G29" s="136"/>
      <c r="H29" s="30" t="str">
        <f>IF(G29="","",G29*400)</f>
        <v/>
      </c>
      <c r="I29" s="29" t="str">
        <f>IF(G29="","",G29*400)</f>
        <v/>
      </c>
      <c r="J29" s="28"/>
    </row>
    <row r="30" spans="1:19" ht="25.5" customHeight="1" x14ac:dyDescent="0.15">
      <c r="B30" s="270" t="s">
        <v>68</v>
      </c>
      <c r="C30" s="271"/>
      <c r="D30" s="136"/>
      <c r="E30" s="136"/>
      <c r="F30" s="137"/>
      <c r="G30" s="136"/>
      <c r="H30" s="30"/>
      <c r="I30" s="30"/>
      <c r="J30" s="28"/>
    </row>
    <row r="31" spans="1:19" ht="25.5" customHeight="1" x14ac:dyDescent="0.15">
      <c r="B31" s="270" t="s">
        <v>69</v>
      </c>
      <c r="C31" s="271"/>
      <c r="D31" s="136"/>
      <c r="E31" s="136"/>
      <c r="F31" s="137"/>
      <c r="G31" s="136"/>
      <c r="H31" s="30"/>
      <c r="I31" s="29"/>
      <c r="J31" s="28"/>
    </row>
    <row r="32" spans="1:19" ht="25.5" customHeight="1" x14ac:dyDescent="0.15">
      <c r="B32" s="270" t="s">
        <v>70</v>
      </c>
      <c r="C32" s="271"/>
      <c r="D32" s="136"/>
      <c r="E32" s="136"/>
      <c r="F32" s="137"/>
      <c r="G32" s="136"/>
      <c r="H32" s="30"/>
      <c r="I32" s="29"/>
      <c r="J32" s="28"/>
    </row>
    <row r="33" spans="1:9" x14ac:dyDescent="0.15">
      <c r="G33" s="251" t="s">
        <v>71</v>
      </c>
      <c r="H33" s="251"/>
      <c r="I33" s="251"/>
    </row>
    <row r="35" spans="1:9" x14ac:dyDescent="0.15">
      <c r="A35" s="27"/>
      <c r="B35" s="132"/>
      <c r="C35" s="132"/>
      <c r="D35" s="237"/>
      <c r="E35" s="132"/>
      <c r="F35" s="132" t="s">
        <v>12</v>
      </c>
      <c r="G35" s="132"/>
      <c r="H35" s="132"/>
      <c r="I35" s="25"/>
    </row>
    <row r="36" spans="1:9" x14ac:dyDescent="0.15">
      <c r="A36" s="23"/>
      <c r="C36" s="265"/>
      <c r="D36" s="265"/>
      <c r="E36" s="265"/>
      <c r="F36" t="s">
        <v>72</v>
      </c>
      <c r="I36" s="24"/>
    </row>
    <row r="37" spans="1:9" x14ac:dyDescent="0.15">
      <c r="A37" s="23"/>
      <c r="I37" s="21"/>
    </row>
    <row r="38" spans="1:9" x14ac:dyDescent="0.15">
      <c r="A38" s="20"/>
      <c r="B38" s="134"/>
      <c r="C38" s="134"/>
      <c r="D38" s="240"/>
      <c r="E38" s="134"/>
      <c r="F38" s="134"/>
      <c r="G38" s="134"/>
      <c r="H38" s="134"/>
      <c r="I38" s="18"/>
    </row>
    <row r="40" spans="1:9" ht="15" customHeight="1" x14ac:dyDescent="0.15">
      <c r="I40" s="131" t="s">
        <v>11</v>
      </c>
    </row>
    <row r="41" spans="1:9" ht="55.5" customHeight="1" x14ac:dyDescent="0.15">
      <c r="I41" s="135"/>
    </row>
  </sheetData>
  <mergeCells count="16">
    <mergeCell ref="G6:I6"/>
    <mergeCell ref="B1:C1"/>
    <mergeCell ref="B2:E2"/>
    <mergeCell ref="G5:I5"/>
    <mergeCell ref="C36:E36"/>
    <mergeCell ref="H8:I8"/>
    <mergeCell ref="A15:B15"/>
    <mergeCell ref="A16:B16"/>
    <mergeCell ref="B19:C19"/>
    <mergeCell ref="B20:C20"/>
    <mergeCell ref="B28:C28"/>
    <mergeCell ref="B29:C29"/>
    <mergeCell ref="B31:C31"/>
    <mergeCell ref="B32:C32"/>
    <mergeCell ref="G33:I33"/>
    <mergeCell ref="B30:C30"/>
  </mergeCells>
  <phoneticPr fontId="1"/>
  <pageMargins left="0.59055118110236227" right="0.70866141732283472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20073-6835-43C3-AA09-4C623282E906}">
  <dimension ref="A1:S41"/>
  <sheetViews>
    <sheetView topLeftCell="A4" zoomScale="95" zoomScaleNormal="95" workbookViewId="0">
      <selection activeCell="H11" sqref="H11"/>
    </sheetView>
  </sheetViews>
  <sheetFormatPr defaultRowHeight="13.5" x14ac:dyDescent="0.15"/>
  <cols>
    <col min="1" max="1" width="8.375" customWidth="1"/>
    <col min="2" max="2" width="13.25" customWidth="1"/>
    <col min="3" max="3" width="9.125" customWidth="1"/>
    <col min="4" max="5" width="7.125" bestFit="1" customWidth="1"/>
    <col min="8" max="8" width="11.5" customWidth="1"/>
    <col min="9" max="9" width="12.5" customWidth="1"/>
  </cols>
  <sheetData>
    <row r="1" spans="1:9" s="238" customFormat="1" ht="17.25" customHeight="1" x14ac:dyDescent="0.15">
      <c r="B1" s="252"/>
      <c r="C1" s="252"/>
      <c r="H1" s="40"/>
    </row>
    <row r="2" spans="1:9" s="238" customFormat="1" ht="12.75" x14ac:dyDescent="0.15">
      <c r="B2" s="253"/>
      <c r="C2" s="253"/>
      <c r="D2" s="253"/>
      <c r="E2" s="253"/>
      <c r="I2" s="40" t="s">
        <v>27</v>
      </c>
    </row>
    <row r="3" spans="1:9" s="238" customFormat="1" ht="12.75" x14ac:dyDescent="0.15">
      <c r="B3" s="239"/>
      <c r="C3" s="238" t="s">
        <v>66</v>
      </c>
    </row>
    <row r="4" spans="1:9" s="238" customFormat="1" ht="12.75" x14ac:dyDescent="0.15"/>
    <row r="5" spans="1:9" s="238" customFormat="1" ht="12.75" x14ac:dyDescent="0.15">
      <c r="B5" s="239"/>
      <c r="C5" s="238" t="s">
        <v>0</v>
      </c>
      <c r="G5" s="252"/>
      <c r="H5" s="252"/>
      <c r="I5" s="252"/>
    </row>
    <row r="6" spans="1:9" s="238" customFormat="1" ht="12.75" x14ac:dyDescent="0.15">
      <c r="G6" s="264" t="s">
        <v>67</v>
      </c>
      <c r="H6" s="252"/>
      <c r="I6" s="252"/>
    </row>
    <row r="7" spans="1:9" s="238" customFormat="1" ht="12.75" x14ac:dyDescent="0.15"/>
    <row r="8" spans="1:9" s="238" customFormat="1" ht="12.75" x14ac:dyDescent="0.15">
      <c r="G8" s="238" t="s">
        <v>26</v>
      </c>
      <c r="H8" s="252"/>
      <c r="I8" s="252"/>
    </row>
    <row r="9" spans="1:9" s="238" customFormat="1" ht="12.75" x14ac:dyDescent="0.15"/>
    <row r="10" spans="1:9" s="238" customFormat="1" ht="12.75" x14ac:dyDescent="0.15"/>
    <row r="11" spans="1:9" s="38" customFormat="1" x14ac:dyDescent="0.15"/>
    <row r="12" spans="1:9" s="38" customFormat="1" x14ac:dyDescent="0.15"/>
    <row r="13" spans="1:9" x14ac:dyDescent="0.15">
      <c r="A13" t="s">
        <v>73</v>
      </c>
    </row>
    <row r="15" spans="1:9" ht="18.75" customHeight="1" x14ac:dyDescent="0.15">
      <c r="A15" s="255" t="s">
        <v>24</v>
      </c>
      <c r="B15" s="257"/>
    </row>
    <row r="16" spans="1:9" ht="18.75" customHeight="1" x14ac:dyDescent="0.15">
      <c r="A16" s="258">
        <f>SUM(I21:I32)</f>
        <v>18000</v>
      </c>
      <c r="B16" s="260"/>
    </row>
    <row r="17" spans="1:19" ht="18.75" customHeight="1" x14ac:dyDescent="0.15">
      <c r="A17" s="13"/>
      <c r="B17" s="13"/>
      <c r="M17" t="str">
        <f>IF(施術内訳書!U9="村上","村上","")</f>
        <v/>
      </c>
      <c r="N17" t="str">
        <f>IF(M17="村上",施術内訳書!V9,"")</f>
        <v/>
      </c>
      <c r="O17" t="str">
        <f>IF(M17="村上",施術内訳書!Z9,"")</f>
        <v/>
      </c>
    </row>
    <row r="18" spans="1:19" ht="18.75" customHeight="1" x14ac:dyDescent="0.15">
      <c r="A18" s="13"/>
      <c r="B18" s="13"/>
      <c r="M18" t="str">
        <f>IF(施術内訳書!U10="内山","内山","")</f>
        <v/>
      </c>
      <c r="N18" t="str">
        <f>IF(M18="内山",施術内訳書!V10,"")</f>
        <v/>
      </c>
      <c r="O18" t="str">
        <f>IF(M18="内山",施術内訳書!Z10,"")</f>
        <v/>
      </c>
      <c r="P18" t="str">
        <f>IF(施術内訳書!U21="村上","村上","")</f>
        <v/>
      </c>
      <c r="Q18">
        <v>0</v>
      </c>
      <c r="R18">
        <f>施術内訳書!AA21</f>
        <v>0</v>
      </c>
    </row>
    <row r="19" spans="1:19" x14ac:dyDescent="0.15">
      <c r="A19" s="36" t="s">
        <v>23</v>
      </c>
      <c r="B19" s="261" t="s">
        <v>133</v>
      </c>
      <c r="C19" s="261"/>
      <c r="M19" t="str">
        <f>IF(施術内訳書!U11="内山","内山","")</f>
        <v>内山</v>
      </c>
      <c r="N19">
        <f>IF(M19="内山",施術内訳書!V11,"")</f>
        <v>45</v>
      </c>
      <c r="O19">
        <f>IF(M19="内山",施術内訳書!Z11,"")</f>
        <v>4</v>
      </c>
      <c r="P19" t="str">
        <f>IF(施術内訳書!U22="村上","村上","")</f>
        <v/>
      </c>
      <c r="Q19">
        <v>0</v>
      </c>
      <c r="R19">
        <f>施術内訳書!AA22</f>
        <v>0</v>
      </c>
      <c r="S19" s="240"/>
    </row>
    <row r="20" spans="1:19" ht="16.5" customHeight="1" x14ac:dyDescent="0.15">
      <c r="B20" s="266" t="s">
        <v>22</v>
      </c>
      <c r="C20" s="267"/>
      <c r="D20" s="33" t="s">
        <v>131</v>
      </c>
      <c r="E20" s="33" t="s">
        <v>21</v>
      </c>
      <c r="F20" s="33" t="s">
        <v>20</v>
      </c>
      <c r="G20" s="33" t="s">
        <v>19</v>
      </c>
      <c r="H20" s="33" t="s">
        <v>18</v>
      </c>
      <c r="I20" s="32" t="s">
        <v>17</v>
      </c>
      <c r="M20" t="str">
        <f>IF(施術内訳書!U12="内山","内山","")</f>
        <v/>
      </c>
      <c r="N20" t="str">
        <f>IF(M20="内山",施術内訳書!V12,"")</f>
        <v/>
      </c>
      <c r="O20" t="str">
        <f>IF(M20="内山",施術内訳書!Z12,"")</f>
        <v/>
      </c>
      <c r="P20" t="str">
        <f>IF(施術内訳書!U23="村上","村上","")</f>
        <v/>
      </c>
      <c r="Q20">
        <v>0</v>
      </c>
      <c r="R20">
        <f>施術内訳書!AA23</f>
        <v>0</v>
      </c>
    </row>
    <row r="21" spans="1:19" ht="25.5" customHeight="1" x14ac:dyDescent="0.15">
      <c r="B21" s="241" t="str">
        <f>IF(C21="","","正田　喜子")</f>
        <v>正田　喜子</v>
      </c>
      <c r="C21" s="242" cm="1">
        <f t="array" ref="C21">IFERROR(_xlfn.UNIQUE(_xlfn._xlws.FILTER($N$17:$N$28,$M$17:$M$28="内山")),"")</f>
        <v>45</v>
      </c>
      <c r="D21" s="141" t="str">
        <f>IF(C21="","","内山")</f>
        <v>内山</v>
      </c>
      <c r="E21" s="141" t="str">
        <f>IF(C21="","","5")</f>
        <v>5</v>
      </c>
      <c r="F21" s="142" t="str">
        <f>IF(C21="","","1.8")</f>
        <v>1.8</v>
      </c>
      <c r="G21" s="136">
        <f>IFERROR(IF(AND(IFERROR(MATCH($C21,$N:$N,0),"")&lt;&gt;"",IFERROR(MATCH($C21,$Q:$Q,0),"")&lt;&gt;""),INDEX($N:$R,MATCH($C21,$N:$N,0),5),IF(OR(IFERROR(MATCH($C21,$N:$N,0),"")&lt;&gt;"",IFERROR(MATCH($C21,$Q:$Q,0),"")&lt;&gt;""),INDEX($N:$O,MATCH($C21,$N:$N,0),2))),"")</f>
        <v>4</v>
      </c>
      <c r="H21" s="30">
        <f>IF(C21="","",G21*C21*100)</f>
        <v>18000</v>
      </c>
      <c r="I21" s="29">
        <f>IF(C21="","",G21*C21*100)</f>
        <v>18000</v>
      </c>
      <c r="K21" t="str">
        <f>IF(M21="内山",施術内訳書!V13,"")</f>
        <v/>
      </c>
      <c r="L21" s="31"/>
      <c r="M21" t="str">
        <f>IF(施術内訳書!U13="内山","内山","")</f>
        <v/>
      </c>
      <c r="N21" t="str">
        <f>IF(M21="内山",施術内訳書!V13,"")</f>
        <v/>
      </c>
      <c r="O21" t="str">
        <f>IF(M21="内山",施術内訳書!Z13,"")</f>
        <v/>
      </c>
      <c r="P21" t="str">
        <f>IF(施術内訳書!U24="村上","村上","")</f>
        <v/>
      </c>
      <c r="Q21">
        <v>0</v>
      </c>
      <c r="R21">
        <f>施術内訳書!AA24</f>
        <v>0</v>
      </c>
      <c r="S21" t="str">
        <f>IF(C21="","","分")</f>
        <v>分</v>
      </c>
    </row>
    <row r="22" spans="1:19" ht="25.5" customHeight="1" x14ac:dyDescent="0.15">
      <c r="B22" s="241" t="str">
        <f t="shared" ref="B22:B26" si="0">IF(C22="","","正田　喜子")</f>
        <v/>
      </c>
      <c r="C22" s="242"/>
      <c r="D22" s="141" t="str">
        <f t="shared" ref="D22:D26" si="1">IF(C22="","","内山")</f>
        <v/>
      </c>
      <c r="E22" s="141" t="str">
        <f>IF(C22="","","5")</f>
        <v/>
      </c>
      <c r="F22" s="142" t="str">
        <f t="shared" ref="F22:F26" si="2">IF(C22="","","1.8")</f>
        <v/>
      </c>
      <c r="G22" s="136" t="str">
        <f t="shared" ref="G22:G26" si="3">IFERROR(IF(AND(IFERROR(MATCH($C22,$N:$N,0),"")&lt;&gt;"",IFERROR(MATCH($C22,$Q:$Q,0),"")&lt;&gt;""),INDEX($N:$R,MATCH($C22,$N:$N,0),5),IF(OR(IFERROR(MATCH($C22,$N:$N,0),"")&lt;&gt;"",IFERROR(MATCH($C22,$Q:$Q,0),"")&lt;&gt;""),INDEX($N:$O,MATCH($C22,$N:$N,0),2))),"")</f>
        <v/>
      </c>
      <c r="H22" s="30" t="str">
        <f t="shared" ref="H22:H25" si="4">IF(C22="","",G22*C22*100)</f>
        <v/>
      </c>
      <c r="I22" s="29" t="str">
        <f t="shared" ref="I22:I26" si="5">IF(C22="","",G22*C22*100)</f>
        <v/>
      </c>
      <c r="K22" t="str">
        <f>IF(M22="内山",施術内訳書!V14,"")</f>
        <v/>
      </c>
      <c r="L22" s="144"/>
      <c r="M22" t="str">
        <f>IF(施術内訳書!U14="内山","内山","")</f>
        <v/>
      </c>
      <c r="N22" t="str">
        <f>IF(M22="内山",施術内訳書!V14,"")</f>
        <v/>
      </c>
      <c r="O22" t="str">
        <f>IF(M22="内山",施術内訳書!Z14,"")</f>
        <v/>
      </c>
      <c r="P22" t="str">
        <f>IF(施術内訳書!U25="村上","村上","")</f>
        <v/>
      </c>
      <c r="Q22">
        <v>0</v>
      </c>
      <c r="R22">
        <f>施術内訳書!AA25</f>
        <v>0</v>
      </c>
      <c r="S22" t="str">
        <f t="shared" ref="S22:S26" si="6">IF(C22="","","分")</f>
        <v/>
      </c>
    </row>
    <row r="23" spans="1:19" ht="25.5" customHeight="1" x14ac:dyDescent="0.15">
      <c r="B23" s="241" t="str">
        <f t="shared" si="0"/>
        <v/>
      </c>
      <c r="C23" s="242"/>
      <c r="D23" s="141" t="str">
        <f t="shared" si="1"/>
        <v/>
      </c>
      <c r="E23" s="141" t="str">
        <f t="shared" ref="E23:E26" si="7">IF(C23="","","5")</f>
        <v/>
      </c>
      <c r="F23" s="142" t="str">
        <f t="shared" si="2"/>
        <v/>
      </c>
      <c r="G23" s="136" t="str">
        <f t="shared" si="3"/>
        <v/>
      </c>
      <c r="H23" s="30" t="str">
        <f t="shared" si="4"/>
        <v/>
      </c>
      <c r="I23" s="29" t="str">
        <f t="shared" si="5"/>
        <v/>
      </c>
      <c r="L23" s="143"/>
      <c r="M23" t="str">
        <f>IF(施術内訳書!U15="内山","内山","")</f>
        <v/>
      </c>
      <c r="N23" t="str">
        <f>IF(M23="内山",施術内訳書!V15,"")</f>
        <v/>
      </c>
      <c r="O23" t="str">
        <f>IF(M23="内山",施術内訳書!Z15,"")</f>
        <v/>
      </c>
      <c r="S23" t="str">
        <f t="shared" si="6"/>
        <v/>
      </c>
    </row>
    <row r="24" spans="1:19" ht="25.5" customHeight="1" x14ac:dyDescent="0.15">
      <c r="B24" s="241" t="str">
        <f t="shared" si="0"/>
        <v/>
      </c>
      <c r="C24" s="242"/>
      <c r="D24" s="141" t="str">
        <f t="shared" si="1"/>
        <v/>
      </c>
      <c r="E24" s="141" t="str">
        <f t="shared" si="7"/>
        <v/>
      </c>
      <c r="F24" s="142" t="str">
        <f t="shared" si="2"/>
        <v/>
      </c>
      <c r="G24" s="136" t="str">
        <f t="shared" si="3"/>
        <v/>
      </c>
      <c r="H24" s="30" t="str">
        <f t="shared" si="4"/>
        <v/>
      </c>
      <c r="I24" s="29" t="str">
        <f t="shared" si="5"/>
        <v/>
      </c>
      <c r="L24" s="31"/>
      <c r="M24" t="str">
        <f>IF(施術内訳書!U16="内山","内山","")</f>
        <v/>
      </c>
      <c r="N24" t="str">
        <f>IF(M24="内山",施術内訳書!V16,"")</f>
        <v/>
      </c>
      <c r="O24" t="str">
        <f>IF(M24="内山",施術内訳書!Z16,"")</f>
        <v/>
      </c>
      <c r="S24" t="str">
        <f t="shared" si="6"/>
        <v/>
      </c>
    </row>
    <row r="25" spans="1:19" ht="25.5" customHeight="1" x14ac:dyDescent="0.15">
      <c r="B25" s="241" t="str">
        <f t="shared" si="0"/>
        <v/>
      </c>
      <c r="C25" s="242"/>
      <c r="D25" s="141" t="str">
        <f t="shared" si="1"/>
        <v/>
      </c>
      <c r="E25" s="141" t="str">
        <f t="shared" si="7"/>
        <v/>
      </c>
      <c r="F25" s="142" t="str">
        <f t="shared" si="2"/>
        <v/>
      </c>
      <c r="G25" s="136" t="str">
        <f t="shared" si="3"/>
        <v/>
      </c>
      <c r="H25" s="30" t="str">
        <f t="shared" si="4"/>
        <v/>
      </c>
      <c r="I25" s="29" t="str">
        <f t="shared" si="5"/>
        <v/>
      </c>
      <c r="L25" s="31"/>
      <c r="M25" t="str">
        <f>IF(施術内訳書!U17="内山","内山","")</f>
        <v/>
      </c>
      <c r="N25" t="str">
        <f>IF(M25="内山",施術内訳書!V17,"")</f>
        <v/>
      </c>
      <c r="O25" t="str">
        <f>IF(M25="内山",施術内訳書!Z17,"")</f>
        <v/>
      </c>
      <c r="S25" t="str">
        <f t="shared" si="6"/>
        <v/>
      </c>
    </row>
    <row r="26" spans="1:19" ht="25.5" customHeight="1" x14ac:dyDescent="0.15">
      <c r="B26" s="241" t="str">
        <f t="shared" si="0"/>
        <v/>
      </c>
      <c r="C26" s="140"/>
      <c r="D26" s="141" t="str">
        <f t="shared" si="1"/>
        <v/>
      </c>
      <c r="E26" s="141" t="str">
        <f t="shared" si="7"/>
        <v/>
      </c>
      <c r="F26" s="142" t="str">
        <f t="shared" si="2"/>
        <v/>
      </c>
      <c r="G26" s="136" t="str">
        <f t="shared" si="3"/>
        <v/>
      </c>
      <c r="H26" s="30" t="str">
        <f>IF(C26="","",G26*C26*100)</f>
        <v/>
      </c>
      <c r="I26" s="29" t="str">
        <f t="shared" si="5"/>
        <v/>
      </c>
      <c r="M26" t="str">
        <f>IF(施術内訳書!U18="内山","内山","")</f>
        <v/>
      </c>
      <c r="N26" t="str">
        <f>IF(M26="内山",施術内訳書!V18,"")</f>
        <v/>
      </c>
      <c r="O26" t="str">
        <f>IF(M26="内山",施術内訳書!Z18,"")</f>
        <v/>
      </c>
      <c r="S26" t="str">
        <f t="shared" si="6"/>
        <v/>
      </c>
    </row>
    <row r="27" spans="1:19" ht="25.5" customHeight="1" x14ac:dyDescent="0.15">
      <c r="B27" s="268"/>
      <c r="C27" s="269"/>
      <c r="D27" s="136"/>
      <c r="E27" s="136"/>
      <c r="F27" s="137"/>
      <c r="G27" s="136"/>
      <c r="H27" s="30" t="str">
        <f>IF(G27="","",G27*94)</f>
        <v/>
      </c>
      <c r="I27" s="30" t="str">
        <f>IF(G27="","",G27*94)</f>
        <v/>
      </c>
      <c r="M27" t="str">
        <f>IF(施術内訳書!U19="内山","内山","")</f>
        <v/>
      </c>
      <c r="N27" t="str">
        <f>IF(M27="内山",施術内訳書!V19,"")</f>
        <v/>
      </c>
      <c r="O27" t="str">
        <f>IF(M27="内山",施術内訳書!Z19,"")</f>
        <v/>
      </c>
      <c r="R27" s="22"/>
    </row>
    <row r="28" spans="1:19" ht="25.5" customHeight="1" x14ac:dyDescent="0.15">
      <c r="B28" s="268"/>
      <c r="C28" s="269"/>
      <c r="D28" s="136"/>
      <c r="E28" s="136"/>
      <c r="F28" s="137"/>
      <c r="G28" s="136"/>
      <c r="H28" s="30" t="str">
        <f>IF(G28="","",G28*600)</f>
        <v/>
      </c>
      <c r="I28" s="29" t="str">
        <f>IF(G28="","",G28*600)</f>
        <v/>
      </c>
      <c r="M28" t="str">
        <f>IF(施術内訳書!U20="内山","内山","")</f>
        <v/>
      </c>
      <c r="N28" t="str">
        <f>IF(M28="内山",施術内訳書!V20,"")</f>
        <v/>
      </c>
      <c r="O28" t="str">
        <f>IF(M28="内山",施術内訳書!Z20,"")</f>
        <v/>
      </c>
    </row>
    <row r="29" spans="1:19" ht="25.5" customHeight="1" x14ac:dyDescent="0.15">
      <c r="B29" s="268"/>
      <c r="C29" s="269"/>
      <c r="D29" s="136"/>
      <c r="E29" s="136"/>
      <c r="F29" s="137"/>
      <c r="G29" s="136"/>
      <c r="H29" s="30" t="str">
        <f>IF(G29="","",G29*400)</f>
        <v/>
      </c>
      <c r="I29" s="29" t="str">
        <f>IF(G29="","",G29*400)</f>
        <v/>
      </c>
      <c r="J29" s="28"/>
    </row>
    <row r="30" spans="1:19" ht="25.5" customHeight="1" x14ac:dyDescent="0.15">
      <c r="B30" s="270" t="s">
        <v>68</v>
      </c>
      <c r="C30" s="271"/>
      <c r="D30" s="136"/>
      <c r="E30" s="136"/>
      <c r="F30" s="137"/>
      <c r="G30" s="136"/>
      <c r="H30" s="30"/>
      <c r="I30" s="30"/>
      <c r="J30" s="28"/>
    </row>
    <row r="31" spans="1:19" ht="25.5" customHeight="1" x14ac:dyDescent="0.15">
      <c r="B31" s="270" t="s">
        <v>69</v>
      </c>
      <c r="C31" s="271"/>
      <c r="D31" s="136"/>
      <c r="E31" s="136"/>
      <c r="F31" s="137"/>
      <c r="G31" s="136"/>
      <c r="H31" s="30"/>
      <c r="I31" s="29"/>
      <c r="J31" s="28"/>
    </row>
    <row r="32" spans="1:19" ht="25.5" customHeight="1" x14ac:dyDescent="0.15">
      <c r="B32" s="270" t="s">
        <v>70</v>
      </c>
      <c r="C32" s="271"/>
      <c r="D32" s="136"/>
      <c r="E32" s="136"/>
      <c r="F32" s="137"/>
      <c r="G32" s="136"/>
      <c r="H32" s="30"/>
      <c r="I32" s="29"/>
      <c r="J32" s="28"/>
    </row>
    <row r="33" spans="1:9" x14ac:dyDescent="0.15">
      <c r="G33" s="251" t="s">
        <v>71</v>
      </c>
      <c r="H33" s="251"/>
      <c r="I33" s="251"/>
    </row>
    <row r="35" spans="1:9" x14ac:dyDescent="0.15">
      <c r="A35" s="27"/>
      <c r="B35" s="237"/>
      <c r="C35" s="237"/>
      <c r="D35" s="237"/>
      <c r="E35" s="237"/>
      <c r="F35" s="237" t="s">
        <v>12</v>
      </c>
      <c r="G35" s="237"/>
      <c r="H35" s="237"/>
      <c r="I35" s="25"/>
    </row>
    <row r="36" spans="1:9" x14ac:dyDescent="0.15">
      <c r="A36" s="23"/>
      <c r="C36" s="265"/>
      <c r="D36" s="265"/>
      <c r="E36" s="265"/>
      <c r="F36" t="s">
        <v>72</v>
      </c>
      <c r="I36" s="24"/>
    </row>
    <row r="37" spans="1:9" x14ac:dyDescent="0.15">
      <c r="A37" s="23"/>
      <c r="I37" s="21"/>
    </row>
    <row r="38" spans="1:9" x14ac:dyDescent="0.15">
      <c r="A38" s="20"/>
      <c r="B38" s="240"/>
      <c r="C38" s="240"/>
      <c r="D38" s="240"/>
      <c r="E38" s="240"/>
      <c r="F38" s="240"/>
      <c r="G38" s="240"/>
      <c r="H38" s="240"/>
      <c r="I38" s="18"/>
    </row>
    <row r="40" spans="1:9" ht="15" customHeight="1" x14ac:dyDescent="0.15">
      <c r="I40" s="236" t="s">
        <v>11</v>
      </c>
    </row>
    <row r="41" spans="1:9" ht="55.5" customHeight="1" x14ac:dyDescent="0.15">
      <c r="I41" s="243"/>
    </row>
  </sheetData>
  <mergeCells count="17">
    <mergeCell ref="B30:C30"/>
    <mergeCell ref="B31:C31"/>
    <mergeCell ref="B32:C32"/>
    <mergeCell ref="G33:I33"/>
    <mergeCell ref="C36:E36"/>
    <mergeCell ref="B29:C29"/>
    <mergeCell ref="B1:C1"/>
    <mergeCell ref="B2:E2"/>
    <mergeCell ref="G5:I5"/>
    <mergeCell ref="G6:I6"/>
    <mergeCell ref="H8:I8"/>
    <mergeCell ref="A15:B15"/>
    <mergeCell ref="A16:B16"/>
    <mergeCell ref="B19:C19"/>
    <mergeCell ref="B20:C20"/>
    <mergeCell ref="B27:C27"/>
    <mergeCell ref="B28:C28"/>
  </mergeCells>
  <phoneticPr fontId="1"/>
  <pageMargins left="0.59055118110236227" right="0.70866141732283472" top="0.74803149606299213" bottom="0.74803149606299213" header="0.31496062992125984" footer="0.31496062992125984"/>
  <pageSetup paperSize="9" orientation="portrait" horizontalDpi="4294967293" vertic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AJ101"/>
  <sheetViews>
    <sheetView showGridLines="0" tabSelected="1" topLeftCell="A13" zoomScale="106" zoomScaleNormal="106" zoomScaleSheetLayoutView="100" workbookViewId="0">
      <selection activeCell="M18" sqref="M18"/>
    </sheetView>
  </sheetViews>
  <sheetFormatPr defaultColWidth="9" defaultRowHeight="13.5" x14ac:dyDescent="0.15"/>
  <cols>
    <col min="1" max="1" width="2.75" style="53" customWidth="1"/>
    <col min="2" max="2" width="5.875" style="54" customWidth="1"/>
    <col min="3" max="3" width="4.125" style="54" customWidth="1"/>
    <col min="4" max="4" width="4.125" style="58" customWidth="1"/>
    <col min="5" max="5" width="7.625" style="54" customWidth="1"/>
    <col min="6" max="7" width="4.125" style="54" customWidth="1"/>
    <col min="8" max="8" width="7.625" style="54" customWidth="1"/>
    <col min="9" max="10" width="4.125" style="54" customWidth="1"/>
    <col min="11" max="11" width="7.625" style="54" customWidth="1"/>
    <col min="12" max="13" width="4.125" style="54" customWidth="1"/>
    <col min="14" max="14" width="7.625" style="54" customWidth="1"/>
    <col min="15" max="16384" width="9" style="54"/>
  </cols>
  <sheetData>
    <row r="1" spans="1:36" ht="21" x14ac:dyDescent="0.15">
      <c r="B1" s="277" t="s">
        <v>31</v>
      </c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</row>
    <row r="2" spans="1:36" ht="18" customHeight="1" x14ac:dyDescent="0.15">
      <c r="B2" s="55"/>
      <c r="C2" s="55"/>
      <c r="D2" s="55"/>
      <c r="E2" s="55"/>
      <c r="F2" s="55"/>
      <c r="G2" s="55"/>
      <c r="H2" s="56"/>
      <c r="I2" s="55"/>
      <c r="J2" s="55"/>
      <c r="K2" s="56"/>
      <c r="L2" s="55"/>
      <c r="M2" s="55"/>
      <c r="N2" s="56"/>
    </row>
    <row r="3" spans="1:36" ht="7.5" customHeight="1" x14ac:dyDescent="0.15">
      <c r="B3" s="57"/>
    </row>
    <row r="4" spans="1:36" ht="18" customHeight="1" x14ac:dyDescent="0.15">
      <c r="B4" s="59" t="s">
        <v>32</v>
      </c>
      <c r="C4" s="278"/>
      <c r="D4" s="278"/>
      <c r="E4" s="278"/>
      <c r="F4" s="278"/>
      <c r="G4" s="278"/>
      <c r="H4" s="278"/>
      <c r="I4" s="273" t="s">
        <v>33</v>
      </c>
      <c r="J4" s="273"/>
      <c r="K4" s="60">
        <f>SUM(O12:O42)</f>
        <v>231435</v>
      </c>
      <c r="L4" s="273"/>
      <c r="M4" s="273"/>
      <c r="N4" s="61"/>
    </row>
    <row r="5" spans="1:36" ht="7.5" customHeight="1" x14ac:dyDescent="0.15">
      <c r="G5" s="62"/>
      <c r="H5" s="62"/>
      <c r="N5" s="62"/>
    </row>
    <row r="6" spans="1:36" ht="18" customHeight="1" x14ac:dyDescent="0.15">
      <c r="B6" s="59" t="s">
        <v>34</v>
      </c>
      <c r="C6" s="279"/>
      <c r="D6" s="279"/>
      <c r="E6" s="279"/>
      <c r="F6" s="279"/>
      <c r="G6" s="279"/>
      <c r="H6" s="279"/>
      <c r="I6" s="273" t="s">
        <v>19</v>
      </c>
      <c r="J6" s="273"/>
      <c r="K6" s="60">
        <f>COUNTIF(C12:K42,"&gt;１０００")</f>
        <v>40</v>
      </c>
      <c r="L6" s="273"/>
      <c r="M6" s="273"/>
      <c r="N6" s="63"/>
    </row>
    <row r="7" spans="1:36" ht="7.5" customHeight="1" x14ac:dyDescent="0.15">
      <c r="B7" s="62"/>
      <c r="C7" s="62"/>
      <c r="D7" s="64"/>
      <c r="G7" s="62"/>
      <c r="H7" s="62"/>
      <c r="N7" s="62"/>
    </row>
    <row r="8" spans="1:36" ht="18" customHeight="1" x14ac:dyDescent="0.15">
      <c r="B8" s="62"/>
      <c r="C8" s="62"/>
      <c r="D8" s="64"/>
      <c r="G8" s="65"/>
      <c r="H8" s="66"/>
      <c r="I8" s="272" t="s">
        <v>35</v>
      </c>
      <c r="J8" s="272"/>
      <c r="K8" s="108">
        <f>COUNTIF(O12:O42,"&gt;１０００")</f>
        <v>26</v>
      </c>
      <c r="L8" s="273"/>
      <c r="M8" s="273"/>
      <c r="N8" s="66"/>
      <c r="S8" s="62"/>
      <c r="U8" s="109" t="s">
        <v>60</v>
      </c>
      <c r="V8" s="109" t="s">
        <v>61</v>
      </c>
      <c r="W8" s="109" t="s">
        <v>59</v>
      </c>
      <c r="X8" s="109" t="s">
        <v>62</v>
      </c>
      <c r="Y8" s="109" t="s">
        <v>63</v>
      </c>
      <c r="Z8" s="109" t="s">
        <v>64</v>
      </c>
      <c r="AA8" s="203" t="s">
        <v>125</v>
      </c>
      <c r="AC8" s="145"/>
      <c r="AD8" s="145"/>
    </row>
    <row r="9" spans="1:36" ht="25.5" customHeight="1" x14ac:dyDescent="0.15">
      <c r="G9" s="62"/>
      <c r="H9" s="62"/>
      <c r="N9" s="59"/>
      <c r="U9" s="122" cm="1">
        <f t="array" ref="U9:V16">_xlfn._xlws.SORT(_xlfn.UNIQUE(AC:AD))</f>
        <v>0</v>
      </c>
      <c r="V9" s="122">
        <v>0</v>
      </c>
      <c r="W9" s="122">
        <f t="shared" ref="W9:W20" si="0">COUNTIFS($C$12:$C$42,U9, $D$12:$D$42,V9)</f>
        <v>0</v>
      </c>
      <c r="X9" s="122">
        <f t="shared" ref="X9:X20" si="1">COUNTIFS($F$12:$F$42,U9, $G$12:$G$42,V9)</f>
        <v>0</v>
      </c>
      <c r="Y9" s="122">
        <f>COUNTIFS($I$12:$I$42,U9, $J$12:$J$42,V9)</f>
        <v>0</v>
      </c>
      <c r="Z9" s="122">
        <f t="shared" ref="Z9:Z22" si="2">SUM(W9:Y9)</f>
        <v>0</v>
      </c>
      <c r="AA9" s="204">
        <f>IF(U9="斎藤",V9-30, IF(U9="和田",V9-30, V9) )</f>
        <v>0</v>
      </c>
      <c r="AC9" s="145" t="str">
        <f t="shared" ref="AC9:AC39" si="3">C12</f>
        <v>村上</v>
      </c>
      <c r="AD9" s="145">
        <f t="shared" ref="AD9:AD39" si="4">D12</f>
        <v>60</v>
      </c>
      <c r="AF9" s="205">
        <f>IFERROR(SMALL(AA9:AA20,1),"")</f>
        <v>0</v>
      </c>
      <c r="AG9" s="205" cm="1">
        <f t="array" ref="AG9:AG13">_xlfn._xlws.SORT(_xlfn.UNIQUE(AF9:AF20))</f>
        <v>0</v>
      </c>
      <c r="AH9" s="205"/>
    </row>
    <row r="10" spans="1:36" ht="25.5" customHeight="1" x14ac:dyDescent="0.15">
      <c r="B10" s="67"/>
      <c r="C10" s="274" t="s">
        <v>36</v>
      </c>
      <c r="D10" s="275"/>
      <c r="E10" s="276"/>
      <c r="F10" s="274" t="s">
        <v>37</v>
      </c>
      <c r="G10" s="275"/>
      <c r="H10" s="276"/>
      <c r="I10" s="274" t="s">
        <v>38</v>
      </c>
      <c r="J10" s="275"/>
      <c r="K10" s="276"/>
      <c r="L10" s="274" t="s">
        <v>39</v>
      </c>
      <c r="M10" s="275"/>
      <c r="N10" s="276"/>
      <c r="O10" s="67"/>
      <c r="U10" s="122" t="str">
        <v>村上</v>
      </c>
      <c r="V10" s="122">
        <v>60</v>
      </c>
      <c r="W10" s="122">
        <f>COUNTIFS($C$12:$C$42,U10, $D$12:$D$42,V10)</f>
        <v>9</v>
      </c>
      <c r="X10" s="122">
        <f>COUNTIFS($F$12:$F$42,U10, $G$12:$G$42,V10)</f>
        <v>8</v>
      </c>
      <c r="Y10" s="122">
        <f t="shared" ref="Y10:Y20" si="5">COUNTIFS($I$12:$I$42,U10, $J$12:$J$42,V10)</f>
        <v>0</v>
      </c>
      <c r="Z10" s="122">
        <f t="shared" si="2"/>
        <v>17</v>
      </c>
      <c r="AA10" s="204">
        <f>IF(U10="斎藤",V10-30, IF(U10="和田",V10-30, V10) )</f>
        <v>60</v>
      </c>
      <c r="AC10" s="145" t="str">
        <f t="shared" si="3"/>
        <v>廣澤</v>
      </c>
      <c r="AD10" s="145">
        <f t="shared" si="4"/>
        <v>90</v>
      </c>
      <c r="AF10" s="205">
        <f>IFERROR(SMALL(AA9:AA20,2),"")</f>
        <v>0</v>
      </c>
      <c r="AG10" s="205">
        <v>15</v>
      </c>
      <c r="AH10" s="205">
        <f>SUMIF(AA9:AA20,AG10, Z9:Z20)</f>
        <v>9</v>
      </c>
      <c r="AI10" s="58" t="s">
        <v>124</v>
      </c>
      <c r="AJ10" s="54">
        <f>SUM(Z21:Z24)</f>
        <v>0</v>
      </c>
    </row>
    <row r="11" spans="1:36" s="58" customFormat="1" ht="18" customHeight="1" thickBot="1" x14ac:dyDescent="0.2">
      <c r="A11" s="68"/>
      <c r="B11" s="69" t="s">
        <v>40</v>
      </c>
      <c r="C11" s="70" t="s">
        <v>41</v>
      </c>
      <c r="D11" s="71" t="s">
        <v>6</v>
      </c>
      <c r="E11" s="71" t="s">
        <v>42</v>
      </c>
      <c r="F11" s="72" t="s">
        <v>41</v>
      </c>
      <c r="G11" s="71" t="s">
        <v>6</v>
      </c>
      <c r="H11" s="73" t="s">
        <v>42</v>
      </c>
      <c r="I11" s="72" t="s">
        <v>41</v>
      </c>
      <c r="J11" s="71" t="s">
        <v>6</v>
      </c>
      <c r="K11" s="73" t="s">
        <v>42</v>
      </c>
      <c r="L11" s="72" t="s">
        <v>41</v>
      </c>
      <c r="M11" s="71" t="s">
        <v>6</v>
      </c>
      <c r="N11" s="73" t="s">
        <v>42</v>
      </c>
      <c r="O11" s="74" t="s">
        <v>8</v>
      </c>
      <c r="Q11" s="64"/>
      <c r="U11" s="122" t="str">
        <v>内山</v>
      </c>
      <c r="V11" s="122">
        <v>45</v>
      </c>
      <c r="W11" s="122">
        <f t="shared" si="0"/>
        <v>4</v>
      </c>
      <c r="X11" s="122">
        <f t="shared" si="1"/>
        <v>0</v>
      </c>
      <c r="Y11" s="122">
        <f t="shared" si="5"/>
        <v>0</v>
      </c>
      <c r="Z11" s="122">
        <f t="shared" si="2"/>
        <v>4</v>
      </c>
      <c r="AA11" s="204">
        <f t="shared" ref="AA11:AA20" si="6">IF(U11="斎藤",V11-30, IF(U11="和田",V11-30, V11) )</f>
        <v>45</v>
      </c>
      <c r="AC11" s="146">
        <f t="shared" si="3"/>
        <v>0</v>
      </c>
      <c r="AD11" s="146">
        <f t="shared" si="4"/>
        <v>0</v>
      </c>
      <c r="AF11" s="205">
        <f>IFERROR(SMALL(AA9:AA20,3),"")</f>
        <v>0</v>
      </c>
      <c r="AG11" s="205">
        <v>45</v>
      </c>
      <c r="AH11" s="210">
        <f>SUMIF(AA9:AA20,AG11, Z9:Z20)</f>
        <v>4</v>
      </c>
      <c r="AI11" s="58" t="s">
        <v>126</v>
      </c>
      <c r="AJ11" s="211">
        <f>SUMIF(U9:U20,"和田",Z9:Z20)</f>
        <v>9</v>
      </c>
    </row>
    <row r="12" spans="1:36" ht="18" customHeight="1" x14ac:dyDescent="0.15">
      <c r="A12" s="53">
        <v>1</v>
      </c>
      <c r="B12" s="76">
        <f>スケジュール!B4</f>
        <v>44652</v>
      </c>
      <c r="C12" s="116" t="s">
        <v>129</v>
      </c>
      <c r="D12" s="74">
        <v>60</v>
      </c>
      <c r="E12" s="99">
        <v>6000</v>
      </c>
      <c r="F12" s="118" t="s">
        <v>54</v>
      </c>
      <c r="G12" s="78">
        <v>45</v>
      </c>
      <c r="H12" s="101">
        <v>2715</v>
      </c>
      <c r="I12" s="121"/>
      <c r="J12" s="78"/>
      <c r="K12" s="102"/>
      <c r="L12" s="77" t="s">
        <v>55</v>
      </c>
      <c r="M12" s="78"/>
      <c r="N12" s="102"/>
      <c r="O12" s="79">
        <f>SUM(E12,H12,K12,N12)</f>
        <v>8715</v>
      </c>
      <c r="T12" s="54" t="str">
        <f>IF(ISERROR(CHOOSE(WEEKDAY(B12,1),"日","月","火","水","木","金","土")),"",CHOOSE(WEEKDAY(B12,1),"日","月","火","水","木","金","土"))</f>
        <v>金</v>
      </c>
      <c r="U12" s="122" t="str">
        <v>和田</v>
      </c>
      <c r="V12" s="122">
        <v>45</v>
      </c>
      <c r="W12" s="122">
        <f t="shared" si="0"/>
        <v>0</v>
      </c>
      <c r="X12" s="122">
        <f t="shared" si="1"/>
        <v>9</v>
      </c>
      <c r="Y12" s="122">
        <f t="shared" si="5"/>
        <v>0</v>
      </c>
      <c r="Z12" s="122">
        <f t="shared" si="2"/>
        <v>9</v>
      </c>
      <c r="AA12" s="204">
        <f t="shared" si="6"/>
        <v>15</v>
      </c>
      <c r="AC12" s="145" t="str">
        <f t="shared" si="3"/>
        <v>村上</v>
      </c>
      <c r="AD12" s="145">
        <f t="shared" si="4"/>
        <v>60</v>
      </c>
      <c r="AF12" s="205">
        <f>IFERROR(SMALL(AA9:AA20,4),"")</f>
        <v>0</v>
      </c>
      <c r="AG12" s="205">
        <v>60</v>
      </c>
      <c r="AH12" s="205">
        <f>SUMIF(AA9:AA20,AG12, Z9:Z20)</f>
        <v>18</v>
      </c>
      <c r="AI12" s="54" t="s">
        <v>127</v>
      </c>
      <c r="AJ12" s="54">
        <f>SUM(AJ10:AJ11)</f>
        <v>9</v>
      </c>
    </row>
    <row r="13" spans="1:36" ht="18" customHeight="1" x14ac:dyDescent="0.15">
      <c r="A13" s="53">
        <v>2</v>
      </c>
      <c r="B13" s="76">
        <f>スケジュール!B5</f>
        <v>44653</v>
      </c>
      <c r="C13" s="116" t="s">
        <v>56</v>
      </c>
      <c r="D13" s="74">
        <v>90</v>
      </c>
      <c r="E13" s="99">
        <v>9000</v>
      </c>
      <c r="F13" s="118"/>
      <c r="G13" s="78"/>
      <c r="H13" s="102"/>
      <c r="I13" s="121"/>
      <c r="J13" s="112"/>
      <c r="K13" s="102"/>
      <c r="L13" s="77"/>
      <c r="M13" s="78"/>
      <c r="N13" s="102"/>
      <c r="O13" s="79">
        <f t="shared" ref="O13:O42" si="7">SUM(E13,H13,K13,N13)</f>
        <v>9000</v>
      </c>
      <c r="T13" s="54" t="str">
        <f t="shared" ref="T13:T42" si="8">IF(ISERROR(CHOOSE(WEEKDAY(B13,1),"日","月","火","水","木","金","土")),"",CHOOSE(WEEKDAY(B13,1),"日","月","火","水","木","金","土"))</f>
        <v>土</v>
      </c>
      <c r="U13" s="123" t="str">
        <v>廣澤</v>
      </c>
      <c r="V13" s="123">
        <v>90</v>
      </c>
      <c r="W13" s="122">
        <f t="shared" si="0"/>
        <v>9</v>
      </c>
      <c r="X13" s="122">
        <f>COUNTIFS($F$12:$F$42,U13, $G$12:$G$42,V13)</f>
        <v>0</v>
      </c>
      <c r="Y13" s="122">
        <f t="shared" si="5"/>
        <v>0</v>
      </c>
      <c r="Z13" s="122">
        <f t="shared" si="2"/>
        <v>9</v>
      </c>
      <c r="AA13" s="204">
        <f t="shared" si="6"/>
        <v>90</v>
      </c>
      <c r="AC13" s="145" t="str">
        <f t="shared" si="3"/>
        <v>廣澤</v>
      </c>
      <c r="AD13" s="145">
        <f t="shared" si="4"/>
        <v>90</v>
      </c>
      <c r="AF13" s="205">
        <f>IFERROR(SMALL(AA9:AA20,5),"")</f>
        <v>0</v>
      </c>
      <c r="AG13" s="205">
        <v>90</v>
      </c>
      <c r="AH13" s="205">
        <f>SUMIF(AA9:AA20,AG13, Z9:Z20)</f>
        <v>9</v>
      </c>
    </row>
    <row r="14" spans="1:36" ht="18" customHeight="1" x14ac:dyDescent="0.15">
      <c r="A14" s="53">
        <v>3</v>
      </c>
      <c r="B14" s="76">
        <f>スケジュール!B6</f>
        <v>44654</v>
      </c>
      <c r="C14" s="116"/>
      <c r="D14" s="74"/>
      <c r="E14" s="99"/>
      <c r="F14" s="118"/>
      <c r="G14" s="78"/>
      <c r="H14" s="102"/>
      <c r="I14" s="121"/>
      <c r="J14" s="78"/>
      <c r="K14" s="102"/>
      <c r="L14" s="77"/>
      <c r="M14" s="78"/>
      <c r="N14" s="102"/>
      <c r="O14" s="79">
        <f t="shared" si="7"/>
        <v>0</v>
      </c>
      <c r="Q14" s="62"/>
      <c r="T14" s="54" t="str">
        <f t="shared" si="8"/>
        <v>日</v>
      </c>
      <c r="U14" s="122" t="str">
        <v>廣澤</v>
      </c>
      <c r="V14" s="122">
        <v>0</v>
      </c>
      <c r="W14" s="122">
        <f t="shared" si="0"/>
        <v>0</v>
      </c>
      <c r="X14" s="122">
        <f t="shared" si="1"/>
        <v>0</v>
      </c>
      <c r="Y14" s="122">
        <f t="shared" si="5"/>
        <v>0</v>
      </c>
      <c r="Z14" s="122">
        <f t="shared" si="2"/>
        <v>0</v>
      </c>
      <c r="AA14" s="204">
        <f t="shared" si="6"/>
        <v>0</v>
      </c>
      <c r="AC14" s="145" t="str">
        <f t="shared" si="3"/>
        <v>内山</v>
      </c>
      <c r="AD14" s="145">
        <f t="shared" si="4"/>
        <v>45</v>
      </c>
      <c r="AF14" s="205">
        <f>IFERROR(SMALL(AA9:AA20,6),"")</f>
        <v>0</v>
      </c>
      <c r="AG14" s="205"/>
      <c r="AH14" s="205">
        <f>SUMIF(AA9:AA20,AG14, Z9:Z20)</f>
        <v>0</v>
      </c>
    </row>
    <row r="15" spans="1:36" ht="18" customHeight="1" x14ac:dyDescent="0.15">
      <c r="A15" s="53">
        <v>4</v>
      </c>
      <c r="B15" s="76">
        <f>スケジュール!B7</f>
        <v>44655</v>
      </c>
      <c r="C15" s="117" t="s">
        <v>129</v>
      </c>
      <c r="D15" s="74">
        <v>60</v>
      </c>
      <c r="E15" s="99">
        <v>6000</v>
      </c>
      <c r="F15" s="116"/>
      <c r="G15" s="74"/>
      <c r="H15" s="103"/>
      <c r="I15" s="116"/>
      <c r="J15" s="74"/>
      <c r="K15" s="103"/>
      <c r="L15" s="77" t="s">
        <v>55</v>
      </c>
      <c r="M15" s="78"/>
      <c r="N15" s="102"/>
      <c r="O15" s="79">
        <f t="shared" si="7"/>
        <v>6000</v>
      </c>
      <c r="Q15" s="62"/>
      <c r="T15" s="54" t="str">
        <f t="shared" si="8"/>
        <v>月</v>
      </c>
      <c r="U15" s="122" t="str">
        <v>廣澤</v>
      </c>
      <c r="V15" s="122">
        <v>60</v>
      </c>
      <c r="W15" s="122">
        <f t="shared" si="0"/>
        <v>0</v>
      </c>
      <c r="X15" s="122">
        <f t="shared" si="1"/>
        <v>0</v>
      </c>
      <c r="Y15" s="122">
        <f t="shared" si="5"/>
        <v>1</v>
      </c>
      <c r="Z15" s="122">
        <f t="shared" si="2"/>
        <v>1</v>
      </c>
      <c r="AA15" s="204">
        <f t="shared" si="6"/>
        <v>60</v>
      </c>
      <c r="AC15" s="145">
        <f t="shared" si="3"/>
        <v>0</v>
      </c>
      <c r="AD15" s="145">
        <f t="shared" si="4"/>
        <v>0</v>
      </c>
      <c r="AF15" s="205">
        <f>IFERROR(SMALL(AA9:AA20,7),"")</f>
        <v>0</v>
      </c>
      <c r="AG15" s="205"/>
      <c r="AH15" s="205">
        <f>SUMIF(AA9:AA20,AG15, Z9:Z20)</f>
        <v>0</v>
      </c>
    </row>
    <row r="16" spans="1:36" ht="18" customHeight="1" x14ac:dyDescent="0.15">
      <c r="A16" s="53">
        <v>5</v>
      </c>
      <c r="B16" s="76">
        <f>スケジュール!B8</f>
        <v>44656</v>
      </c>
      <c r="C16" s="116" t="s">
        <v>56</v>
      </c>
      <c r="D16" s="74">
        <v>90</v>
      </c>
      <c r="E16" s="99">
        <v>9000</v>
      </c>
      <c r="F16" s="116" t="s">
        <v>129</v>
      </c>
      <c r="G16" s="74">
        <v>60</v>
      </c>
      <c r="H16" s="103">
        <v>6000</v>
      </c>
      <c r="I16" s="117" t="s">
        <v>56</v>
      </c>
      <c r="J16" s="74"/>
      <c r="K16" s="99"/>
      <c r="L16" s="77" t="s">
        <v>55</v>
      </c>
      <c r="M16" s="78"/>
      <c r="N16" s="102"/>
      <c r="O16" s="79">
        <f t="shared" si="7"/>
        <v>15000</v>
      </c>
      <c r="T16" s="54" t="str">
        <f t="shared" si="8"/>
        <v>火</v>
      </c>
      <c r="U16" s="122">
        <v>0</v>
      </c>
      <c r="V16" s="122">
        <v>0</v>
      </c>
      <c r="W16" s="122">
        <f t="shared" si="0"/>
        <v>0</v>
      </c>
      <c r="X16" s="122">
        <f t="shared" si="1"/>
        <v>0</v>
      </c>
      <c r="Y16" s="122">
        <f t="shared" si="5"/>
        <v>0</v>
      </c>
      <c r="Z16" s="122">
        <f t="shared" si="2"/>
        <v>0</v>
      </c>
      <c r="AA16" s="204">
        <f t="shared" si="6"/>
        <v>0</v>
      </c>
      <c r="AC16" s="145" t="str">
        <f t="shared" si="3"/>
        <v>村上</v>
      </c>
      <c r="AD16" s="145">
        <f t="shared" si="4"/>
        <v>60</v>
      </c>
      <c r="AF16" s="205">
        <f>IFERROR(SMALL(AA9:AA20,8),"")</f>
        <v>15</v>
      </c>
      <c r="AG16" s="205"/>
      <c r="AH16" s="205">
        <f>SUMIF(AA9:AA20,AG16, Z9:Z20)</f>
        <v>0</v>
      </c>
    </row>
    <row r="17" spans="1:34" ht="18" customHeight="1" x14ac:dyDescent="0.15">
      <c r="A17" s="53">
        <v>6</v>
      </c>
      <c r="B17" s="76">
        <f>スケジュール!B9</f>
        <v>44657</v>
      </c>
      <c r="C17" s="116" t="s">
        <v>134</v>
      </c>
      <c r="D17" s="111">
        <v>45</v>
      </c>
      <c r="E17" s="113">
        <v>4500</v>
      </c>
      <c r="F17" s="116" t="s">
        <v>129</v>
      </c>
      <c r="G17" s="111">
        <v>60</v>
      </c>
      <c r="H17" s="114">
        <v>6000</v>
      </c>
      <c r="I17" s="121"/>
      <c r="J17" s="112"/>
      <c r="K17" s="115"/>
      <c r="L17" s="77" t="s">
        <v>55</v>
      </c>
      <c r="M17" s="78"/>
      <c r="N17" s="102"/>
      <c r="O17" s="79">
        <f t="shared" si="7"/>
        <v>10500</v>
      </c>
      <c r="T17" s="54" t="str">
        <f t="shared" si="8"/>
        <v>水</v>
      </c>
      <c r="U17" s="122"/>
      <c r="V17" s="122"/>
      <c r="W17" s="122">
        <f t="shared" si="0"/>
        <v>0</v>
      </c>
      <c r="X17" s="122">
        <f t="shared" si="1"/>
        <v>0</v>
      </c>
      <c r="Y17" s="122">
        <f t="shared" si="5"/>
        <v>0</v>
      </c>
      <c r="Z17" s="122">
        <f t="shared" si="2"/>
        <v>0</v>
      </c>
      <c r="AA17" s="204">
        <f t="shared" si="6"/>
        <v>0</v>
      </c>
      <c r="AC17" s="145" t="str">
        <f t="shared" si="3"/>
        <v>廣澤</v>
      </c>
      <c r="AD17" s="145">
        <f t="shared" si="4"/>
        <v>90</v>
      </c>
      <c r="AF17" s="205">
        <f>IFERROR(SMALL(AA9:AA20,9),"")</f>
        <v>45</v>
      </c>
      <c r="AG17" s="205"/>
      <c r="AH17" s="205">
        <f>SUMIF(AA9:AA20,AG17, Z9:Z20)</f>
        <v>0</v>
      </c>
    </row>
    <row r="18" spans="1:34" ht="18" customHeight="1" x14ac:dyDescent="0.15">
      <c r="A18" s="53">
        <v>7</v>
      </c>
      <c r="B18" s="76">
        <f>スケジュール!B10</f>
        <v>44658</v>
      </c>
      <c r="C18" s="118"/>
      <c r="D18" s="78"/>
      <c r="E18" s="102"/>
      <c r="F18" s="121" t="s">
        <v>54</v>
      </c>
      <c r="G18" s="78">
        <v>45</v>
      </c>
      <c r="H18" s="102">
        <v>2715</v>
      </c>
      <c r="I18" s="121" t="s">
        <v>56</v>
      </c>
      <c r="J18" s="78"/>
      <c r="K18" s="102"/>
      <c r="L18" s="77" t="s">
        <v>55</v>
      </c>
      <c r="M18" s="78"/>
      <c r="N18" s="102"/>
      <c r="O18" s="79">
        <f t="shared" si="7"/>
        <v>2715</v>
      </c>
      <c r="T18" s="54" t="str">
        <f t="shared" si="8"/>
        <v>木</v>
      </c>
      <c r="U18" s="122"/>
      <c r="V18" s="122"/>
      <c r="W18" s="122">
        <f t="shared" si="0"/>
        <v>0</v>
      </c>
      <c r="X18" s="122">
        <f t="shared" si="1"/>
        <v>0</v>
      </c>
      <c r="Y18" s="122">
        <f t="shared" si="5"/>
        <v>0</v>
      </c>
      <c r="Z18" s="122">
        <f t="shared" si="2"/>
        <v>0</v>
      </c>
      <c r="AA18" s="204">
        <f t="shared" si="6"/>
        <v>0</v>
      </c>
      <c r="AC18" s="145">
        <f t="shared" si="3"/>
        <v>0</v>
      </c>
      <c r="AD18" s="145">
        <f t="shared" si="4"/>
        <v>0</v>
      </c>
      <c r="AF18" s="205">
        <f>IFERROR(SMALL(AA9:AA20,10),"")</f>
        <v>60</v>
      </c>
      <c r="AG18" s="205"/>
      <c r="AH18" s="205">
        <f>SUMIF(AA9:AA20,AG18, Z9:Z20)</f>
        <v>0</v>
      </c>
    </row>
    <row r="19" spans="1:34" ht="18" customHeight="1" x14ac:dyDescent="0.15">
      <c r="A19" s="53">
        <v>8</v>
      </c>
      <c r="B19" s="76">
        <f>スケジュール!B11</f>
        <v>44659</v>
      </c>
      <c r="C19" s="116" t="s">
        <v>129</v>
      </c>
      <c r="D19" s="74">
        <v>60</v>
      </c>
      <c r="E19" s="99">
        <v>6000</v>
      </c>
      <c r="F19" s="118" t="s">
        <v>54</v>
      </c>
      <c r="G19" s="78">
        <v>45</v>
      </c>
      <c r="H19" s="102">
        <v>2715</v>
      </c>
      <c r="I19" s="121" t="s">
        <v>56</v>
      </c>
      <c r="J19" s="78">
        <v>60</v>
      </c>
      <c r="K19" s="102">
        <v>6000</v>
      </c>
      <c r="L19" s="77" t="s">
        <v>55</v>
      </c>
      <c r="M19" s="78"/>
      <c r="N19" s="102"/>
      <c r="O19" s="79">
        <f t="shared" si="7"/>
        <v>14715</v>
      </c>
      <c r="R19" s="62"/>
      <c r="T19" s="54" t="str">
        <f t="shared" si="8"/>
        <v>金</v>
      </c>
      <c r="U19" s="122"/>
      <c r="V19" s="122"/>
      <c r="W19" s="122">
        <f t="shared" si="0"/>
        <v>0</v>
      </c>
      <c r="X19" s="122">
        <f t="shared" si="1"/>
        <v>0</v>
      </c>
      <c r="Y19" s="122">
        <f t="shared" si="5"/>
        <v>0</v>
      </c>
      <c r="Z19" s="122">
        <f t="shared" si="2"/>
        <v>0</v>
      </c>
      <c r="AA19" s="204">
        <f t="shared" si="6"/>
        <v>0</v>
      </c>
      <c r="AC19" s="145" t="str">
        <f t="shared" si="3"/>
        <v>村上</v>
      </c>
      <c r="AD19" s="145">
        <f t="shared" si="4"/>
        <v>60</v>
      </c>
      <c r="AF19" s="205">
        <f>IFERROR(SMALL(AA9:AA20,11),"")</f>
        <v>60</v>
      </c>
      <c r="AG19" s="205"/>
      <c r="AH19" s="205">
        <f>SUMIF(AA9:AA20,AG19, Z9:Z20)</f>
        <v>0</v>
      </c>
    </row>
    <row r="20" spans="1:34" ht="18" customHeight="1" thickBot="1" x14ac:dyDescent="0.2">
      <c r="A20" s="53">
        <v>9</v>
      </c>
      <c r="B20" s="76">
        <f>スケジュール!B12</f>
        <v>44660</v>
      </c>
      <c r="C20" s="118" t="s">
        <v>56</v>
      </c>
      <c r="D20" s="74">
        <v>90</v>
      </c>
      <c r="E20" s="99">
        <v>9000</v>
      </c>
      <c r="F20" s="118"/>
      <c r="G20" s="78"/>
      <c r="H20" s="102"/>
      <c r="I20" s="121"/>
      <c r="J20" s="78"/>
      <c r="K20" s="102"/>
      <c r="L20" s="77"/>
      <c r="M20" s="78"/>
      <c r="N20" s="102"/>
      <c r="O20" s="79">
        <f t="shared" si="7"/>
        <v>9000</v>
      </c>
      <c r="R20" s="62"/>
      <c r="S20" s="62"/>
      <c r="T20" s="54" t="str">
        <f t="shared" si="8"/>
        <v>土</v>
      </c>
      <c r="U20" s="124"/>
      <c r="V20" s="130"/>
      <c r="W20" s="130">
        <f t="shared" si="0"/>
        <v>0</v>
      </c>
      <c r="X20" s="130">
        <f t="shared" si="1"/>
        <v>0</v>
      </c>
      <c r="Y20" s="130">
        <f t="shared" si="5"/>
        <v>0</v>
      </c>
      <c r="Z20" s="130">
        <f t="shared" si="2"/>
        <v>0</v>
      </c>
      <c r="AA20" s="204">
        <f t="shared" si="6"/>
        <v>0</v>
      </c>
      <c r="AC20" s="145" t="str">
        <f t="shared" si="3"/>
        <v>廣澤</v>
      </c>
      <c r="AD20" s="145">
        <f t="shared" si="4"/>
        <v>90</v>
      </c>
      <c r="AF20" s="205">
        <f>IFERROR(SMALL(AA9:AA20,12),"")</f>
        <v>90</v>
      </c>
      <c r="AG20" s="205"/>
      <c r="AH20" s="205">
        <f>SUMIF(AA9:AA20,AG20, Z9:Z20)</f>
        <v>0</v>
      </c>
    </row>
    <row r="21" spans="1:34" ht="18" customHeight="1" x14ac:dyDescent="0.15">
      <c r="A21" s="53">
        <v>10</v>
      </c>
      <c r="B21" s="76">
        <f>スケジュール!B13</f>
        <v>44661</v>
      </c>
      <c r="C21" s="116"/>
      <c r="D21" s="74"/>
      <c r="E21" s="99"/>
      <c r="F21" s="118"/>
      <c r="G21" s="78"/>
      <c r="H21" s="102"/>
      <c r="I21" s="121"/>
      <c r="J21" s="78"/>
      <c r="K21" s="102"/>
      <c r="L21" s="77"/>
      <c r="M21" s="78"/>
      <c r="N21" s="102"/>
      <c r="O21" s="79">
        <f t="shared" si="7"/>
        <v>0</v>
      </c>
      <c r="Q21" s="62"/>
      <c r="R21" s="62"/>
      <c r="T21" s="54" t="str">
        <f t="shared" si="8"/>
        <v>日</v>
      </c>
      <c r="U21" s="125" t="s">
        <v>124</v>
      </c>
      <c r="V21" s="126" t="str" cm="1">
        <f t="array" ref="V21">IFERROR(_xlfn.UNIQUE(_xlfn._xlws.FILTER($D$12:$D$42,($C$12:$C$42="斎藤")*($T$12:$T$42="水"))),"")</f>
        <v/>
      </c>
      <c r="W21" s="127">
        <f>COUNTIFS($C$12:$C$42,U21, $D$12:$D$42,V21, $T$12:$T$42,"水")</f>
        <v>0</v>
      </c>
      <c r="X21" s="127">
        <f>COUNTIFS($F$12:$F$42,U21, $G$12:$G$42,V21, $T$12:$T$42,"水")</f>
        <v>0</v>
      </c>
      <c r="Y21" s="127">
        <f>COUNTIFS($F$12:$F$42,U21, $J$12:$J$42,V21, $T$12:$T$42,"水")</f>
        <v>0</v>
      </c>
      <c r="Z21" s="128">
        <f>SUM(W21:Y21)</f>
        <v>0</v>
      </c>
      <c r="AA21" s="129">
        <f>SUMIFS(Z$9:Z$20,U$9:U$20,U21,V$9:V$20,V21)-Z21</f>
        <v>0</v>
      </c>
      <c r="AC21" s="145" t="str">
        <f t="shared" si="3"/>
        <v>内山</v>
      </c>
      <c r="AD21" s="145">
        <f t="shared" si="4"/>
        <v>45</v>
      </c>
    </row>
    <row r="22" spans="1:34" ht="18" customHeight="1" x14ac:dyDescent="0.15">
      <c r="A22" s="53">
        <v>11</v>
      </c>
      <c r="B22" s="76">
        <f>スケジュール!B14</f>
        <v>44662</v>
      </c>
      <c r="C22" s="117" t="s">
        <v>129</v>
      </c>
      <c r="D22" s="74">
        <v>60</v>
      </c>
      <c r="E22" s="99">
        <v>6000</v>
      </c>
      <c r="F22" s="116"/>
      <c r="G22" s="74"/>
      <c r="H22" s="103"/>
      <c r="I22" s="121"/>
      <c r="J22" s="78"/>
      <c r="K22" s="102"/>
      <c r="L22" s="77" t="s">
        <v>55</v>
      </c>
      <c r="M22" s="78"/>
      <c r="N22" s="102"/>
      <c r="O22" s="79">
        <f t="shared" si="7"/>
        <v>6000</v>
      </c>
      <c r="T22" s="54" t="str">
        <f t="shared" si="8"/>
        <v>月</v>
      </c>
      <c r="U22" s="122" t="s">
        <v>123</v>
      </c>
      <c r="V22" s="126"/>
      <c r="W22" s="74">
        <f>COUNTIFS($C$12:$C$42,U22, $D$12:$D$42,V22, $T$12:$T$42,"水")</f>
        <v>0</v>
      </c>
      <c r="X22" s="74">
        <f>COUNTIFS($F$12:$F$42,U22, $G$12:$G$42,V22, $T$12:$T$42,"水")</f>
        <v>0</v>
      </c>
      <c r="Y22" s="74">
        <f>COUNTIFS($F$12:$F$42,U22, $J$12:$J$42,V22, $T$12:$T$42,"水")</f>
        <v>0</v>
      </c>
      <c r="Z22" s="107">
        <f t="shared" si="2"/>
        <v>0</v>
      </c>
      <c r="AA22" s="129">
        <f t="shared" ref="AA22:AA24" si="9">SUMIFS(Z$9:Z$20,U$9:U$20,U22,V$9:V$20,V22)-Z22</f>
        <v>0</v>
      </c>
      <c r="AC22" s="145">
        <f t="shared" si="3"/>
        <v>0</v>
      </c>
      <c r="AD22" s="145">
        <f t="shared" si="4"/>
        <v>0</v>
      </c>
    </row>
    <row r="23" spans="1:34" ht="18" customHeight="1" x14ac:dyDescent="0.15">
      <c r="A23" s="53">
        <v>12</v>
      </c>
      <c r="B23" s="76">
        <f>スケジュール!B15</f>
        <v>44663</v>
      </c>
      <c r="C23" s="117" t="s">
        <v>56</v>
      </c>
      <c r="D23" s="74">
        <v>90</v>
      </c>
      <c r="E23" s="99">
        <v>9000</v>
      </c>
      <c r="F23" s="116" t="s">
        <v>129</v>
      </c>
      <c r="G23" s="74">
        <v>60</v>
      </c>
      <c r="H23" s="103">
        <v>6000</v>
      </c>
      <c r="I23" s="121" t="s">
        <v>56</v>
      </c>
      <c r="J23" s="78"/>
      <c r="K23" s="102"/>
      <c r="L23" s="77" t="s">
        <v>55</v>
      </c>
      <c r="M23" s="78"/>
      <c r="N23" s="102"/>
      <c r="O23" s="79">
        <f t="shared" si="7"/>
        <v>15000</v>
      </c>
      <c r="T23" s="54" t="str">
        <f t="shared" si="8"/>
        <v>火</v>
      </c>
      <c r="U23" s="122" t="s">
        <v>123</v>
      </c>
      <c r="V23" s="126"/>
      <c r="W23" s="74">
        <f>COUNTIFS($C$12:$C$42,U23, $D$12:$D$42,V23, $T$12:$T$42,"水")</f>
        <v>0</v>
      </c>
      <c r="X23" s="74">
        <f>COUNTIFS($F$12:$F$42,U23, $G$12:$G$42,V23, $T$12:$T$42,"水")</f>
        <v>0</v>
      </c>
      <c r="Y23" s="67"/>
      <c r="Z23" s="74">
        <f>SUM(W23:Y23)</f>
        <v>0</v>
      </c>
      <c r="AA23" s="129">
        <f t="shared" si="9"/>
        <v>0</v>
      </c>
      <c r="AC23" s="145" t="str">
        <f t="shared" si="3"/>
        <v>村上</v>
      </c>
      <c r="AD23" s="145">
        <f t="shared" si="4"/>
        <v>60</v>
      </c>
    </row>
    <row r="24" spans="1:34" ht="18" customHeight="1" x14ac:dyDescent="0.15">
      <c r="A24" s="53">
        <v>13</v>
      </c>
      <c r="B24" s="76">
        <f>スケジュール!B16</f>
        <v>44664</v>
      </c>
      <c r="C24" s="121" t="s">
        <v>134</v>
      </c>
      <c r="D24" s="78">
        <v>45</v>
      </c>
      <c r="E24" s="102">
        <v>4500</v>
      </c>
      <c r="F24" s="116" t="s">
        <v>129</v>
      </c>
      <c r="G24" s="74">
        <v>60</v>
      </c>
      <c r="H24" s="103">
        <v>6000</v>
      </c>
      <c r="I24" s="121"/>
      <c r="J24" s="78"/>
      <c r="K24" s="102"/>
      <c r="L24" s="77" t="s">
        <v>55</v>
      </c>
      <c r="M24" s="78"/>
      <c r="N24" s="102"/>
      <c r="O24" s="79">
        <f t="shared" si="7"/>
        <v>10500</v>
      </c>
      <c r="T24" s="54" t="str">
        <f t="shared" si="8"/>
        <v>水</v>
      </c>
      <c r="U24" s="122" t="s">
        <v>123</v>
      </c>
      <c r="V24" s="126"/>
      <c r="W24" s="74">
        <f>COUNTIFS($C$12:$C$42,U24, $D$12:$D$42,V24, $T$12:$T$42,"水")</f>
        <v>0</v>
      </c>
      <c r="X24" s="74">
        <f>COUNTIFS($F$12:$F$42,U24, $G$12:$G$42,V24, $T$12:$T$42,"水")</f>
        <v>0</v>
      </c>
      <c r="Y24" s="67"/>
      <c r="Z24" s="74">
        <f>SUM(W24:Y24)</f>
        <v>0</v>
      </c>
      <c r="AA24" s="129">
        <f t="shared" si="9"/>
        <v>0</v>
      </c>
      <c r="AC24" s="145" t="str">
        <f t="shared" si="3"/>
        <v>廣澤</v>
      </c>
      <c r="AD24" s="145">
        <f t="shared" si="4"/>
        <v>90</v>
      </c>
    </row>
    <row r="25" spans="1:34" ht="18" customHeight="1" x14ac:dyDescent="0.15">
      <c r="A25" s="53">
        <v>14</v>
      </c>
      <c r="B25" s="76">
        <f>スケジュール!B17</f>
        <v>44665</v>
      </c>
      <c r="C25" s="117"/>
      <c r="D25" s="74"/>
      <c r="E25" s="99"/>
      <c r="F25" s="121" t="s">
        <v>54</v>
      </c>
      <c r="G25" s="78">
        <v>45</v>
      </c>
      <c r="H25" s="102">
        <v>2715</v>
      </c>
      <c r="I25" s="121" t="s">
        <v>56</v>
      </c>
      <c r="J25" s="78"/>
      <c r="K25" s="102"/>
      <c r="L25" s="77" t="s">
        <v>55</v>
      </c>
      <c r="M25" s="78"/>
      <c r="N25" s="102"/>
      <c r="O25" s="79">
        <f t="shared" si="7"/>
        <v>2715</v>
      </c>
      <c r="T25" s="54" t="str">
        <f t="shared" si="8"/>
        <v>木</v>
      </c>
      <c r="U25" s="110"/>
      <c r="V25" s="110"/>
      <c r="W25" s="110"/>
      <c r="X25" s="110"/>
      <c r="Y25" s="110"/>
      <c r="Z25" s="110"/>
      <c r="AA25" s="62"/>
      <c r="AC25" s="145">
        <f t="shared" si="3"/>
        <v>0</v>
      </c>
      <c r="AD25" s="145">
        <f t="shared" si="4"/>
        <v>0</v>
      </c>
    </row>
    <row r="26" spans="1:34" ht="18" customHeight="1" x14ac:dyDescent="0.15">
      <c r="A26" s="53">
        <v>15</v>
      </c>
      <c r="B26" s="76">
        <f>スケジュール!B18</f>
        <v>44666</v>
      </c>
      <c r="C26" s="116" t="s">
        <v>129</v>
      </c>
      <c r="D26" s="74">
        <v>60</v>
      </c>
      <c r="E26" s="99">
        <v>6000</v>
      </c>
      <c r="F26" s="118" t="s">
        <v>54</v>
      </c>
      <c r="G26" s="78">
        <v>45</v>
      </c>
      <c r="H26" s="102">
        <v>2715</v>
      </c>
      <c r="I26" s="121"/>
      <c r="J26" s="78"/>
      <c r="K26" s="102"/>
      <c r="L26" s="77" t="s">
        <v>55</v>
      </c>
      <c r="M26" s="78"/>
      <c r="N26" s="102"/>
      <c r="O26" s="79">
        <f t="shared" si="7"/>
        <v>8715</v>
      </c>
      <c r="T26" s="54" t="str">
        <f t="shared" si="8"/>
        <v>金</v>
      </c>
      <c r="U26" s="62"/>
      <c r="V26" s="62"/>
      <c r="AC26" s="145" t="str">
        <f t="shared" si="3"/>
        <v>村上</v>
      </c>
      <c r="AD26" s="145">
        <f t="shared" si="4"/>
        <v>60</v>
      </c>
    </row>
    <row r="27" spans="1:34" ht="18" customHeight="1" x14ac:dyDescent="0.15">
      <c r="A27" s="53">
        <v>16</v>
      </c>
      <c r="B27" s="76">
        <f>スケジュール!B19</f>
        <v>44667</v>
      </c>
      <c r="C27" s="118" t="s">
        <v>56</v>
      </c>
      <c r="D27" s="78">
        <v>90</v>
      </c>
      <c r="E27" s="102">
        <v>9000</v>
      </c>
      <c r="F27" s="118"/>
      <c r="G27" s="78"/>
      <c r="H27" s="102"/>
      <c r="I27" s="121"/>
      <c r="J27" s="78"/>
      <c r="K27" s="102"/>
      <c r="L27" s="77"/>
      <c r="M27" s="78"/>
      <c r="N27" s="102"/>
      <c r="O27" s="79">
        <f t="shared" si="7"/>
        <v>9000</v>
      </c>
      <c r="S27" s="62"/>
      <c r="T27" s="54" t="str">
        <f t="shared" si="8"/>
        <v>土</v>
      </c>
      <c r="U27" s="62"/>
      <c r="V27" s="62"/>
      <c r="AC27" s="145" t="str">
        <f t="shared" si="3"/>
        <v>廣澤</v>
      </c>
      <c r="AD27" s="145">
        <f t="shared" si="4"/>
        <v>90</v>
      </c>
    </row>
    <row r="28" spans="1:34" ht="18" customHeight="1" x14ac:dyDescent="0.15">
      <c r="A28" s="53">
        <v>17</v>
      </c>
      <c r="B28" s="76">
        <f>スケジュール!B20</f>
        <v>44668</v>
      </c>
      <c r="C28" s="116"/>
      <c r="D28" s="74"/>
      <c r="E28" s="99"/>
      <c r="F28" s="118"/>
      <c r="G28" s="78"/>
      <c r="H28" s="102"/>
      <c r="I28" s="121"/>
      <c r="J28" s="78"/>
      <c r="K28" s="102"/>
      <c r="L28" s="77"/>
      <c r="M28" s="78"/>
      <c r="N28" s="102"/>
      <c r="O28" s="79">
        <f t="shared" si="7"/>
        <v>0</v>
      </c>
      <c r="T28" s="54" t="str">
        <f t="shared" si="8"/>
        <v>日</v>
      </c>
      <c r="U28" s="62"/>
      <c r="V28" s="62"/>
      <c r="AC28" s="145" t="str">
        <f t="shared" si="3"/>
        <v>内山</v>
      </c>
      <c r="AD28" s="145">
        <f t="shared" si="4"/>
        <v>45</v>
      </c>
    </row>
    <row r="29" spans="1:34" ht="18" customHeight="1" thickBot="1" x14ac:dyDescent="0.2">
      <c r="A29" s="53">
        <v>18</v>
      </c>
      <c r="B29" s="76">
        <f>スケジュール!B21</f>
        <v>44669</v>
      </c>
      <c r="C29" s="117" t="s">
        <v>129</v>
      </c>
      <c r="D29" s="74">
        <v>60</v>
      </c>
      <c r="E29" s="99">
        <v>6000</v>
      </c>
      <c r="F29" s="118"/>
      <c r="G29" s="78"/>
      <c r="H29" s="102"/>
      <c r="I29" s="116"/>
      <c r="J29" s="74"/>
      <c r="K29" s="103"/>
      <c r="L29" s="77" t="s">
        <v>55</v>
      </c>
      <c r="M29" s="78"/>
      <c r="N29" s="102"/>
      <c r="O29" s="79">
        <f t="shared" si="7"/>
        <v>6000</v>
      </c>
      <c r="T29" s="54" t="str">
        <f t="shared" si="8"/>
        <v>月</v>
      </c>
      <c r="U29" s="62"/>
      <c r="V29" s="62"/>
      <c r="AC29" s="145">
        <f t="shared" si="3"/>
        <v>0</v>
      </c>
      <c r="AD29" s="147">
        <f t="shared" si="4"/>
        <v>0</v>
      </c>
    </row>
    <row r="30" spans="1:34" ht="18" customHeight="1" x14ac:dyDescent="0.15">
      <c r="A30" s="53">
        <v>19</v>
      </c>
      <c r="B30" s="76">
        <f>スケジュール!B22</f>
        <v>44670</v>
      </c>
      <c r="C30" s="117" t="s">
        <v>56</v>
      </c>
      <c r="D30" s="74">
        <v>90</v>
      </c>
      <c r="E30" s="99">
        <v>9000</v>
      </c>
      <c r="F30" s="117" t="s">
        <v>129</v>
      </c>
      <c r="G30" s="74">
        <v>60</v>
      </c>
      <c r="H30" s="99">
        <v>6000</v>
      </c>
      <c r="I30" s="116" t="s">
        <v>56</v>
      </c>
      <c r="J30" s="74"/>
      <c r="K30" s="103"/>
      <c r="L30" s="77" t="s">
        <v>55</v>
      </c>
      <c r="M30" s="78"/>
      <c r="N30" s="102"/>
      <c r="O30" s="79">
        <f t="shared" si="7"/>
        <v>15000</v>
      </c>
      <c r="T30" s="54" t="str">
        <f t="shared" si="8"/>
        <v>火</v>
      </c>
      <c r="U30" s="62"/>
      <c r="V30" s="62"/>
      <c r="AC30" s="145" t="str">
        <f t="shared" si="3"/>
        <v>村上</v>
      </c>
      <c r="AD30" s="145">
        <f t="shared" si="4"/>
        <v>60</v>
      </c>
    </row>
    <row r="31" spans="1:34" ht="18" customHeight="1" x14ac:dyDescent="0.15">
      <c r="A31" s="53">
        <v>20</v>
      </c>
      <c r="B31" s="76">
        <f>スケジュール!B23</f>
        <v>44671</v>
      </c>
      <c r="C31" s="116" t="s">
        <v>134</v>
      </c>
      <c r="D31" s="74">
        <v>45</v>
      </c>
      <c r="E31" s="99">
        <v>4500</v>
      </c>
      <c r="F31" s="116" t="s">
        <v>129</v>
      </c>
      <c r="G31" s="74">
        <v>60</v>
      </c>
      <c r="H31" s="103">
        <v>6000</v>
      </c>
      <c r="I31" s="118"/>
      <c r="J31" s="78"/>
      <c r="K31" s="102"/>
      <c r="L31" s="77" t="s">
        <v>55</v>
      </c>
      <c r="M31" s="78"/>
      <c r="N31" s="102"/>
      <c r="O31" s="79">
        <f t="shared" si="7"/>
        <v>10500</v>
      </c>
      <c r="T31" s="54" t="str">
        <f t="shared" si="8"/>
        <v>水</v>
      </c>
      <c r="U31" s="62"/>
      <c r="V31" s="62"/>
      <c r="AC31" s="145" t="str">
        <f t="shared" si="3"/>
        <v>廣澤</v>
      </c>
      <c r="AD31" s="145">
        <f t="shared" si="4"/>
        <v>90</v>
      </c>
    </row>
    <row r="32" spans="1:34" ht="18" customHeight="1" x14ac:dyDescent="0.15">
      <c r="A32" s="53">
        <v>21</v>
      </c>
      <c r="B32" s="76">
        <f>スケジュール!B24</f>
        <v>44672</v>
      </c>
      <c r="C32" s="117"/>
      <c r="D32" s="74"/>
      <c r="E32" s="99"/>
      <c r="F32" s="121" t="s">
        <v>54</v>
      </c>
      <c r="G32" s="78">
        <v>45</v>
      </c>
      <c r="H32" s="102">
        <v>2715</v>
      </c>
      <c r="I32" s="121" t="s">
        <v>56</v>
      </c>
      <c r="J32" s="78"/>
      <c r="K32" s="102"/>
      <c r="L32" s="77" t="s">
        <v>55</v>
      </c>
      <c r="M32" s="78"/>
      <c r="N32" s="102"/>
      <c r="O32" s="79">
        <f t="shared" si="7"/>
        <v>2715</v>
      </c>
      <c r="T32" s="54" t="str">
        <f t="shared" si="8"/>
        <v>木</v>
      </c>
      <c r="U32" s="62"/>
      <c r="V32" s="62"/>
      <c r="AC32" s="145">
        <f t="shared" si="3"/>
        <v>0</v>
      </c>
      <c r="AD32" s="145">
        <f t="shared" si="4"/>
        <v>0</v>
      </c>
    </row>
    <row r="33" spans="1:30" ht="18" customHeight="1" x14ac:dyDescent="0.15">
      <c r="A33" s="53">
        <v>22</v>
      </c>
      <c r="B33" s="76">
        <f>スケジュール!B25</f>
        <v>44673</v>
      </c>
      <c r="C33" s="116" t="s">
        <v>129</v>
      </c>
      <c r="D33" s="74">
        <v>60</v>
      </c>
      <c r="E33" s="99">
        <v>6000</v>
      </c>
      <c r="F33" s="118" t="s">
        <v>54</v>
      </c>
      <c r="G33" s="78">
        <v>45</v>
      </c>
      <c r="H33" s="102">
        <v>2715</v>
      </c>
      <c r="I33" s="121"/>
      <c r="J33" s="78"/>
      <c r="K33" s="102"/>
      <c r="L33" s="77" t="s">
        <v>55</v>
      </c>
      <c r="M33" s="78"/>
      <c r="N33" s="102"/>
      <c r="O33" s="79">
        <f t="shared" si="7"/>
        <v>8715</v>
      </c>
      <c r="T33" s="54" t="str">
        <f t="shared" si="8"/>
        <v>金</v>
      </c>
      <c r="U33" s="62"/>
      <c r="V33" s="62"/>
      <c r="AC33" s="145" t="str">
        <f t="shared" si="3"/>
        <v>村上</v>
      </c>
      <c r="AD33" s="145">
        <f t="shared" si="4"/>
        <v>60</v>
      </c>
    </row>
    <row r="34" spans="1:30" ht="18" customHeight="1" x14ac:dyDescent="0.15">
      <c r="A34" s="53">
        <v>23</v>
      </c>
      <c r="B34" s="76">
        <f>スケジュール!B26</f>
        <v>44674</v>
      </c>
      <c r="C34" s="116" t="s">
        <v>56</v>
      </c>
      <c r="D34" s="74">
        <v>90</v>
      </c>
      <c r="E34" s="99">
        <v>9000</v>
      </c>
      <c r="F34" s="118"/>
      <c r="G34" s="78"/>
      <c r="H34" s="102"/>
      <c r="I34" s="121"/>
      <c r="J34" s="78"/>
      <c r="K34" s="102"/>
      <c r="L34" s="77"/>
      <c r="M34" s="78"/>
      <c r="N34" s="102"/>
      <c r="O34" s="79">
        <f t="shared" si="7"/>
        <v>9000</v>
      </c>
      <c r="T34" s="54" t="str">
        <f>IF(ISERROR(CHOOSE(WEEKDAY(B34,1),"日","月","火","水","木","金","土")),"",CHOOSE(WEEKDAY(B34,1),"日","月","火","水","木","金","土"))</f>
        <v>土</v>
      </c>
      <c r="U34" s="62"/>
      <c r="V34" s="62"/>
      <c r="AC34" s="145" t="str">
        <f t="shared" si="3"/>
        <v>廣澤</v>
      </c>
      <c r="AD34" s="145">
        <f t="shared" si="4"/>
        <v>90</v>
      </c>
    </row>
    <row r="35" spans="1:30" ht="18" customHeight="1" x14ac:dyDescent="0.15">
      <c r="A35" s="53">
        <v>24</v>
      </c>
      <c r="B35" s="76">
        <f>スケジュール!B27</f>
        <v>44675</v>
      </c>
      <c r="C35" s="116"/>
      <c r="D35" s="74"/>
      <c r="E35" s="99"/>
      <c r="F35" s="118"/>
      <c r="G35" s="78"/>
      <c r="H35" s="102"/>
      <c r="I35" s="121"/>
      <c r="J35" s="78"/>
      <c r="K35" s="102"/>
      <c r="L35" s="77"/>
      <c r="M35" s="78"/>
      <c r="N35" s="102"/>
      <c r="O35" s="79">
        <f t="shared" si="7"/>
        <v>0</v>
      </c>
      <c r="T35" s="54" t="str">
        <f t="shared" si="8"/>
        <v>日</v>
      </c>
      <c r="U35" s="62"/>
      <c r="V35" s="62"/>
      <c r="AC35" s="145" t="str">
        <f t="shared" si="3"/>
        <v>内山</v>
      </c>
      <c r="AD35" s="145">
        <f t="shared" si="4"/>
        <v>45</v>
      </c>
    </row>
    <row r="36" spans="1:30" ht="18" customHeight="1" x14ac:dyDescent="0.15">
      <c r="A36" s="53">
        <v>25</v>
      </c>
      <c r="B36" s="76">
        <f>スケジュール!B28</f>
        <v>44676</v>
      </c>
      <c r="C36" s="117" t="s">
        <v>129</v>
      </c>
      <c r="D36" s="74">
        <v>60</v>
      </c>
      <c r="E36" s="99">
        <v>6000</v>
      </c>
      <c r="F36" s="118"/>
      <c r="G36" s="74"/>
      <c r="H36" s="103"/>
      <c r="I36" s="116"/>
      <c r="J36" s="74"/>
      <c r="K36" s="103"/>
      <c r="L36" s="77" t="s">
        <v>55</v>
      </c>
      <c r="M36" s="78"/>
      <c r="N36" s="102"/>
      <c r="O36" s="79">
        <f t="shared" si="7"/>
        <v>6000</v>
      </c>
      <c r="Q36" s="106"/>
      <c r="T36" s="54" t="str">
        <f t="shared" si="8"/>
        <v>月</v>
      </c>
      <c r="U36" s="62"/>
      <c r="V36" s="62"/>
      <c r="AC36" s="145">
        <f t="shared" si="3"/>
        <v>0</v>
      </c>
      <c r="AD36" s="145">
        <f t="shared" si="4"/>
        <v>0</v>
      </c>
    </row>
    <row r="37" spans="1:30" ht="18" customHeight="1" x14ac:dyDescent="0.15">
      <c r="A37" s="53">
        <v>26</v>
      </c>
      <c r="B37" s="76">
        <f>スケジュール!B29</f>
        <v>44677</v>
      </c>
      <c r="C37" s="117" t="s">
        <v>56</v>
      </c>
      <c r="D37" s="74">
        <v>90</v>
      </c>
      <c r="E37" s="99">
        <v>9000</v>
      </c>
      <c r="F37" s="116" t="s">
        <v>129</v>
      </c>
      <c r="G37" s="74">
        <v>60</v>
      </c>
      <c r="H37" s="103">
        <v>6000</v>
      </c>
      <c r="I37" s="121" t="s">
        <v>56</v>
      </c>
      <c r="J37" s="78"/>
      <c r="K37" s="102"/>
      <c r="L37" s="77" t="s">
        <v>55</v>
      </c>
      <c r="M37" s="78"/>
      <c r="N37" s="102"/>
      <c r="O37" s="79">
        <f t="shared" si="7"/>
        <v>15000</v>
      </c>
      <c r="T37" s="54" t="str">
        <f t="shared" si="8"/>
        <v>火</v>
      </c>
      <c r="U37" s="62"/>
      <c r="V37" s="62"/>
      <c r="AC37" s="145" t="str">
        <f t="shared" si="3"/>
        <v>村上</v>
      </c>
      <c r="AD37" s="145">
        <f t="shared" si="4"/>
        <v>60</v>
      </c>
    </row>
    <row r="38" spans="1:30" ht="18" customHeight="1" x14ac:dyDescent="0.15">
      <c r="A38" s="53">
        <v>27</v>
      </c>
      <c r="B38" s="76">
        <f>スケジュール!B30</f>
        <v>44678</v>
      </c>
      <c r="C38" s="116" t="s">
        <v>134</v>
      </c>
      <c r="D38" s="74">
        <v>45</v>
      </c>
      <c r="E38" s="99">
        <v>4500</v>
      </c>
      <c r="F38" s="116" t="s">
        <v>129</v>
      </c>
      <c r="G38" s="74">
        <v>60</v>
      </c>
      <c r="H38" s="103">
        <v>6000</v>
      </c>
      <c r="I38" s="121"/>
      <c r="J38" s="78"/>
      <c r="K38" s="102"/>
      <c r="L38" s="77" t="s">
        <v>55</v>
      </c>
      <c r="M38" s="78"/>
      <c r="N38" s="102"/>
      <c r="O38" s="79">
        <f t="shared" si="7"/>
        <v>10500</v>
      </c>
      <c r="T38" s="54" t="str">
        <f t="shared" si="8"/>
        <v>水</v>
      </c>
      <c r="U38" s="62"/>
      <c r="V38" s="62"/>
      <c r="AC38" s="145" t="str">
        <f t="shared" si="3"/>
        <v>廣澤</v>
      </c>
      <c r="AD38" s="145">
        <f t="shared" si="4"/>
        <v>90</v>
      </c>
    </row>
    <row r="39" spans="1:30" ht="18" customHeight="1" x14ac:dyDescent="0.15">
      <c r="A39" s="53">
        <v>28</v>
      </c>
      <c r="B39" s="76">
        <f>スケジュール!B31</f>
        <v>44679</v>
      </c>
      <c r="C39" s="117"/>
      <c r="D39" s="74"/>
      <c r="E39" s="99"/>
      <c r="F39" s="121" t="s">
        <v>54</v>
      </c>
      <c r="G39" s="78">
        <v>45</v>
      </c>
      <c r="H39" s="102">
        <v>2715</v>
      </c>
      <c r="I39" s="121" t="s">
        <v>56</v>
      </c>
      <c r="J39" s="78"/>
      <c r="K39" s="102"/>
      <c r="L39" s="77" t="s">
        <v>55</v>
      </c>
      <c r="M39" s="78"/>
      <c r="N39" s="102"/>
      <c r="O39" s="79">
        <f t="shared" si="7"/>
        <v>2715</v>
      </c>
      <c r="T39" s="54" t="str">
        <f t="shared" si="8"/>
        <v>木</v>
      </c>
      <c r="U39" s="62"/>
      <c r="V39" s="62"/>
      <c r="AC39" s="145">
        <f t="shared" si="3"/>
        <v>0</v>
      </c>
      <c r="AD39" s="145">
        <f t="shared" si="4"/>
        <v>0</v>
      </c>
    </row>
    <row r="40" spans="1:30" ht="18" customHeight="1" x14ac:dyDescent="0.15">
      <c r="A40" s="53">
        <v>29</v>
      </c>
      <c r="B40" s="76">
        <f>スケジュール!B32</f>
        <v>44680</v>
      </c>
      <c r="C40" s="116" t="s">
        <v>129</v>
      </c>
      <c r="D40" s="74">
        <v>60</v>
      </c>
      <c r="E40" s="99">
        <v>6000</v>
      </c>
      <c r="F40" s="118" t="s">
        <v>54</v>
      </c>
      <c r="G40" s="78">
        <v>45</v>
      </c>
      <c r="H40" s="102">
        <v>2715</v>
      </c>
      <c r="I40" s="121"/>
      <c r="J40" s="78"/>
      <c r="K40" s="102"/>
      <c r="L40" s="77" t="s">
        <v>55</v>
      </c>
      <c r="M40" s="78"/>
      <c r="N40" s="102"/>
      <c r="O40" s="79">
        <f t="shared" si="7"/>
        <v>8715</v>
      </c>
      <c r="T40" s="54" t="str">
        <f t="shared" si="8"/>
        <v>金</v>
      </c>
      <c r="U40" s="62"/>
      <c r="V40" s="62"/>
      <c r="AC40" s="145" t="str">
        <f t="shared" ref="AC40:AC70" si="10">F12</f>
        <v>和田</v>
      </c>
      <c r="AD40" s="145">
        <f t="shared" ref="AD40:AD70" si="11">G12</f>
        <v>45</v>
      </c>
    </row>
    <row r="41" spans="1:30" ht="18" customHeight="1" x14ac:dyDescent="0.15">
      <c r="A41" s="53">
        <v>30</v>
      </c>
      <c r="B41" s="76">
        <f>スケジュール!B33</f>
        <v>44681</v>
      </c>
      <c r="C41" s="116" t="s">
        <v>56</v>
      </c>
      <c r="D41" s="74">
        <v>90</v>
      </c>
      <c r="E41" s="99">
        <v>9000</v>
      </c>
      <c r="F41" s="118"/>
      <c r="G41" s="78"/>
      <c r="H41" s="102"/>
      <c r="I41" s="121"/>
      <c r="J41" s="78"/>
      <c r="K41" s="102"/>
      <c r="L41" s="77"/>
      <c r="M41" s="78"/>
      <c r="N41" s="102"/>
      <c r="O41" s="79">
        <f t="shared" si="7"/>
        <v>9000</v>
      </c>
      <c r="T41" s="54" t="str">
        <f t="shared" si="8"/>
        <v>土</v>
      </c>
      <c r="U41" s="62"/>
      <c r="V41" s="62"/>
      <c r="AC41" s="145">
        <f t="shared" si="10"/>
        <v>0</v>
      </c>
      <c r="AD41" s="145">
        <f t="shared" si="11"/>
        <v>0</v>
      </c>
    </row>
    <row r="42" spans="1:30" ht="18" customHeight="1" thickBot="1" x14ac:dyDescent="0.2">
      <c r="A42" s="53">
        <v>31</v>
      </c>
      <c r="B42" s="81" t="str">
        <f>スケジュール!B34</f>
        <v/>
      </c>
      <c r="C42" s="119"/>
      <c r="D42" s="82"/>
      <c r="E42" s="100"/>
      <c r="F42" s="120"/>
      <c r="G42" s="83"/>
      <c r="H42" s="104"/>
      <c r="I42" s="121"/>
      <c r="J42" s="78"/>
      <c r="K42" s="102"/>
      <c r="L42" s="77"/>
      <c r="M42" s="78"/>
      <c r="N42" s="102"/>
      <c r="O42" s="79">
        <f t="shared" si="7"/>
        <v>0</v>
      </c>
      <c r="T42" s="54" t="str">
        <f t="shared" si="8"/>
        <v/>
      </c>
      <c r="U42" s="62"/>
      <c r="V42" s="62"/>
      <c r="AC42" s="145">
        <f t="shared" si="10"/>
        <v>0</v>
      </c>
      <c r="AD42" s="145">
        <f t="shared" si="11"/>
        <v>0</v>
      </c>
    </row>
    <row r="43" spans="1:30" ht="18" customHeight="1" x14ac:dyDescent="0.15">
      <c r="B43" s="84" t="s">
        <v>44</v>
      </c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6"/>
      <c r="T43" s="62"/>
      <c r="U43" s="62"/>
      <c r="V43" s="62"/>
      <c r="AC43" s="145">
        <f t="shared" si="10"/>
        <v>0</v>
      </c>
      <c r="AD43" s="145">
        <f t="shared" si="11"/>
        <v>0</v>
      </c>
    </row>
    <row r="44" spans="1:30" ht="18" customHeight="1" thickBot="1" x14ac:dyDescent="0.2">
      <c r="B44" s="87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9"/>
      <c r="Q44" s="62"/>
      <c r="T44" s="62"/>
      <c r="U44" s="62"/>
      <c r="V44" s="62"/>
      <c r="AC44" s="145" t="str">
        <f t="shared" si="10"/>
        <v>村上</v>
      </c>
      <c r="AD44" s="145">
        <f t="shared" si="11"/>
        <v>60</v>
      </c>
    </row>
    <row r="45" spans="1:30" ht="18" customHeight="1" x14ac:dyDescent="0.15">
      <c r="B45" s="85"/>
      <c r="C45" s="85"/>
      <c r="D45" s="85"/>
      <c r="E45" s="85"/>
      <c r="F45" s="85"/>
      <c r="G45" s="62"/>
      <c r="H45" s="85"/>
      <c r="I45" s="85"/>
      <c r="J45" s="62"/>
      <c r="K45" s="85"/>
      <c r="L45" s="85"/>
      <c r="M45" s="62"/>
      <c r="N45" s="85"/>
      <c r="O45" s="85"/>
      <c r="P45" s="62"/>
      <c r="U45" s="62"/>
      <c r="V45" s="62"/>
      <c r="AC45" s="145" t="str">
        <f t="shared" si="10"/>
        <v>村上</v>
      </c>
      <c r="AD45" s="145">
        <f t="shared" si="11"/>
        <v>60</v>
      </c>
    </row>
    <row r="46" spans="1:30" ht="18" customHeight="1" x14ac:dyDescent="0.15">
      <c r="B46" s="62"/>
      <c r="C46" s="62"/>
      <c r="D46" s="62"/>
      <c r="E46" s="62"/>
      <c r="F46" s="62"/>
      <c r="G46" s="62"/>
      <c r="H46" s="62"/>
      <c r="I46" s="62"/>
      <c r="J46" s="62"/>
      <c r="K46" s="62"/>
      <c r="L46" s="62"/>
      <c r="M46" s="62"/>
      <c r="N46" s="62"/>
      <c r="O46" s="62"/>
      <c r="U46" s="62"/>
      <c r="V46" s="62"/>
      <c r="AC46" s="145" t="str">
        <f t="shared" si="10"/>
        <v>和田</v>
      </c>
      <c r="AD46" s="145">
        <f t="shared" si="11"/>
        <v>45</v>
      </c>
    </row>
    <row r="47" spans="1:30" x14ac:dyDescent="0.15">
      <c r="B47" s="62"/>
      <c r="C47" s="62"/>
      <c r="D47" s="64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U47" s="62"/>
      <c r="V47" s="62"/>
      <c r="AC47" s="145" t="str">
        <f t="shared" si="10"/>
        <v>和田</v>
      </c>
      <c r="AD47" s="145">
        <f t="shared" si="11"/>
        <v>45</v>
      </c>
    </row>
    <row r="48" spans="1:30" x14ac:dyDescent="0.15">
      <c r="U48" s="62"/>
      <c r="V48" s="62"/>
      <c r="AC48" s="145">
        <f t="shared" si="10"/>
        <v>0</v>
      </c>
      <c r="AD48" s="145">
        <f t="shared" si="11"/>
        <v>0</v>
      </c>
    </row>
    <row r="49" spans="21:30" x14ac:dyDescent="0.15">
      <c r="U49" s="62"/>
      <c r="V49" s="62"/>
      <c r="AC49" s="145">
        <f t="shared" si="10"/>
        <v>0</v>
      </c>
      <c r="AD49" s="145">
        <f t="shared" si="11"/>
        <v>0</v>
      </c>
    </row>
    <row r="50" spans="21:30" x14ac:dyDescent="0.15">
      <c r="U50" s="62"/>
      <c r="V50" s="62"/>
      <c r="AC50" s="145">
        <f t="shared" si="10"/>
        <v>0</v>
      </c>
      <c r="AD50" s="145">
        <f t="shared" si="11"/>
        <v>0</v>
      </c>
    </row>
    <row r="51" spans="21:30" x14ac:dyDescent="0.15">
      <c r="U51" s="62"/>
      <c r="V51" s="62"/>
      <c r="AC51" s="145" t="str">
        <f t="shared" si="10"/>
        <v>村上</v>
      </c>
      <c r="AD51" s="145">
        <f t="shared" si="11"/>
        <v>60</v>
      </c>
    </row>
    <row r="52" spans="21:30" x14ac:dyDescent="0.15">
      <c r="U52" s="62"/>
      <c r="V52" s="62"/>
      <c r="AC52" s="145" t="str">
        <f t="shared" si="10"/>
        <v>村上</v>
      </c>
      <c r="AD52" s="145">
        <f t="shared" si="11"/>
        <v>60</v>
      </c>
    </row>
    <row r="53" spans="21:30" x14ac:dyDescent="0.15">
      <c r="U53" s="62"/>
      <c r="V53" s="62"/>
      <c r="AC53" s="145" t="str">
        <f t="shared" si="10"/>
        <v>和田</v>
      </c>
      <c r="AD53" s="145">
        <f t="shared" si="11"/>
        <v>45</v>
      </c>
    </row>
    <row r="54" spans="21:30" x14ac:dyDescent="0.15">
      <c r="U54" s="62"/>
      <c r="V54" s="62"/>
      <c r="AC54" s="145" t="str">
        <f t="shared" si="10"/>
        <v>和田</v>
      </c>
      <c r="AD54" s="145">
        <f t="shared" si="11"/>
        <v>45</v>
      </c>
    </row>
    <row r="55" spans="21:30" x14ac:dyDescent="0.15">
      <c r="U55" s="62"/>
      <c r="V55" s="62"/>
      <c r="AC55" s="145">
        <f t="shared" si="10"/>
        <v>0</v>
      </c>
      <c r="AD55" s="145">
        <f t="shared" si="11"/>
        <v>0</v>
      </c>
    </row>
    <row r="56" spans="21:30" x14ac:dyDescent="0.15">
      <c r="U56" s="62"/>
      <c r="V56" s="62"/>
      <c r="AC56" s="145">
        <f t="shared" si="10"/>
        <v>0</v>
      </c>
      <c r="AD56" s="145">
        <f t="shared" si="11"/>
        <v>0</v>
      </c>
    </row>
    <row r="57" spans="21:30" x14ac:dyDescent="0.15">
      <c r="U57" s="62"/>
      <c r="V57" s="62"/>
      <c r="AC57" s="145">
        <f t="shared" si="10"/>
        <v>0</v>
      </c>
      <c r="AD57" s="145">
        <f t="shared" si="11"/>
        <v>0</v>
      </c>
    </row>
    <row r="58" spans="21:30" x14ac:dyDescent="0.15">
      <c r="U58" s="62"/>
      <c r="V58" s="62"/>
      <c r="AC58" s="145" t="str">
        <f t="shared" si="10"/>
        <v>村上</v>
      </c>
      <c r="AD58" s="145">
        <f t="shared" si="11"/>
        <v>60</v>
      </c>
    </row>
    <row r="59" spans="21:30" x14ac:dyDescent="0.15">
      <c r="U59" s="62"/>
      <c r="V59" s="62"/>
      <c r="AC59" s="145" t="str">
        <f t="shared" si="10"/>
        <v>村上</v>
      </c>
      <c r="AD59" s="145">
        <f t="shared" si="11"/>
        <v>60</v>
      </c>
    </row>
    <row r="60" spans="21:30" x14ac:dyDescent="0.15">
      <c r="U60" s="62"/>
      <c r="V60" s="62"/>
      <c r="AC60" s="145" t="str">
        <f t="shared" si="10"/>
        <v>和田</v>
      </c>
      <c r="AD60" s="145">
        <f t="shared" si="11"/>
        <v>45</v>
      </c>
    </row>
    <row r="61" spans="21:30" x14ac:dyDescent="0.15">
      <c r="U61" s="62"/>
      <c r="V61" s="62"/>
      <c r="AC61" s="145" t="str">
        <f t="shared" si="10"/>
        <v>和田</v>
      </c>
      <c r="AD61" s="145">
        <f t="shared" si="11"/>
        <v>45</v>
      </c>
    </row>
    <row r="62" spans="21:30" x14ac:dyDescent="0.15">
      <c r="U62" s="62"/>
      <c r="V62" s="62"/>
      <c r="AC62" s="145">
        <f t="shared" si="10"/>
        <v>0</v>
      </c>
      <c r="AD62" s="145">
        <f t="shared" si="11"/>
        <v>0</v>
      </c>
    </row>
    <row r="63" spans="21:30" x14ac:dyDescent="0.15">
      <c r="U63" s="62"/>
      <c r="V63" s="62"/>
      <c r="AC63" s="145">
        <f t="shared" si="10"/>
        <v>0</v>
      </c>
      <c r="AD63" s="145">
        <f t="shared" si="11"/>
        <v>0</v>
      </c>
    </row>
    <row r="64" spans="21:30" x14ac:dyDescent="0.15">
      <c r="U64" s="62"/>
      <c r="V64" s="62"/>
      <c r="AC64" s="145">
        <f t="shared" si="10"/>
        <v>0</v>
      </c>
      <c r="AD64" s="145">
        <f t="shared" si="11"/>
        <v>0</v>
      </c>
    </row>
    <row r="65" spans="21:30" x14ac:dyDescent="0.15">
      <c r="U65" s="62"/>
      <c r="V65" s="62"/>
      <c r="AC65" s="145" t="str">
        <f t="shared" si="10"/>
        <v>村上</v>
      </c>
      <c r="AD65" s="145">
        <f t="shared" si="11"/>
        <v>60</v>
      </c>
    </row>
    <row r="66" spans="21:30" x14ac:dyDescent="0.15">
      <c r="U66" s="62"/>
      <c r="V66" s="62"/>
      <c r="AC66" s="145" t="str">
        <f t="shared" si="10"/>
        <v>村上</v>
      </c>
      <c r="AD66" s="145">
        <f t="shared" si="11"/>
        <v>60</v>
      </c>
    </row>
    <row r="67" spans="21:30" x14ac:dyDescent="0.15">
      <c r="U67" s="62"/>
      <c r="V67" s="62"/>
      <c r="AC67" s="145" t="str">
        <f t="shared" si="10"/>
        <v>和田</v>
      </c>
      <c r="AD67" s="145">
        <f t="shared" si="11"/>
        <v>45</v>
      </c>
    </row>
    <row r="68" spans="21:30" x14ac:dyDescent="0.15">
      <c r="U68" s="62"/>
      <c r="V68" s="62"/>
      <c r="AC68" s="145" t="str">
        <f t="shared" si="10"/>
        <v>和田</v>
      </c>
      <c r="AD68" s="145">
        <f t="shared" si="11"/>
        <v>45</v>
      </c>
    </row>
    <row r="69" spans="21:30" x14ac:dyDescent="0.15">
      <c r="AC69" s="145">
        <f t="shared" si="10"/>
        <v>0</v>
      </c>
      <c r="AD69" s="145">
        <f t="shared" si="11"/>
        <v>0</v>
      </c>
    </row>
    <row r="70" spans="21:30" x14ac:dyDescent="0.15">
      <c r="AC70" s="145">
        <f t="shared" si="10"/>
        <v>0</v>
      </c>
      <c r="AD70" s="145">
        <f t="shared" si="11"/>
        <v>0</v>
      </c>
    </row>
    <row r="71" spans="21:30" x14ac:dyDescent="0.15">
      <c r="AC71" s="145">
        <f t="shared" ref="AC71:AC101" si="12">I12</f>
        <v>0</v>
      </c>
      <c r="AD71" s="145">
        <f t="shared" ref="AD71:AD101" si="13">J12</f>
        <v>0</v>
      </c>
    </row>
    <row r="72" spans="21:30" x14ac:dyDescent="0.15">
      <c r="AC72" s="145">
        <f t="shared" si="12"/>
        <v>0</v>
      </c>
      <c r="AD72" s="145">
        <f t="shared" si="13"/>
        <v>0</v>
      </c>
    </row>
    <row r="73" spans="21:30" x14ac:dyDescent="0.15">
      <c r="AC73" s="145">
        <f t="shared" si="12"/>
        <v>0</v>
      </c>
      <c r="AD73" s="145">
        <f t="shared" si="13"/>
        <v>0</v>
      </c>
    </row>
    <row r="74" spans="21:30" x14ac:dyDescent="0.15">
      <c r="AC74" s="145">
        <f t="shared" si="12"/>
        <v>0</v>
      </c>
      <c r="AD74" s="145">
        <f t="shared" si="13"/>
        <v>0</v>
      </c>
    </row>
    <row r="75" spans="21:30" x14ac:dyDescent="0.15">
      <c r="AC75" s="145" t="str">
        <f t="shared" si="12"/>
        <v>廣澤</v>
      </c>
      <c r="AD75" s="145">
        <f t="shared" si="13"/>
        <v>0</v>
      </c>
    </row>
    <row r="76" spans="21:30" x14ac:dyDescent="0.15">
      <c r="AC76" s="145">
        <f t="shared" si="12"/>
        <v>0</v>
      </c>
      <c r="AD76" s="145">
        <f t="shared" si="13"/>
        <v>0</v>
      </c>
    </row>
    <row r="77" spans="21:30" x14ac:dyDescent="0.15">
      <c r="AC77" s="145" t="str">
        <f t="shared" si="12"/>
        <v>廣澤</v>
      </c>
      <c r="AD77" s="145">
        <f t="shared" si="13"/>
        <v>0</v>
      </c>
    </row>
    <row r="78" spans="21:30" x14ac:dyDescent="0.15">
      <c r="AC78" s="145" t="str">
        <f t="shared" si="12"/>
        <v>廣澤</v>
      </c>
      <c r="AD78" s="145">
        <f t="shared" si="13"/>
        <v>60</v>
      </c>
    </row>
    <row r="79" spans="21:30" x14ac:dyDescent="0.15">
      <c r="AC79" s="145">
        <f t="shared" si="12"/>
        <v>0</v>
      </c>
      <c r="AD79" s="145">
        <f t="shared" si="13"/>
        <v>0</v>
      </c>
    </row>
    <row r="80" spans="21:30" x14ac:dyDescent="0.15">
      <c r="AC80" s="145">
        <f t="shared" si="12"/>
        <v>0</v>
      </c>
      <c r="AD80" s="145">
        <f t="shared" si="13"/>
        <v>0</v>
      </c>
    </row>
    <row r="81" spans="29:30" x14ac:dyDescent="0.15">
      <c r="AC81" s="145">
        <f t="shared" si="12"/>
        <v>0</v>
      </c>
      <c r="AD81" s="145">
        <f t="shared" si="13"/>
        <v>0</v>
      </c>
    </row>
    <row r="82" spans="29:30" x14ac:dyDescent="0.15">
      <c r="AC82" s="145" t="str">
        <f t="shared" si="12"/>
        <v>廣澤</v>
      </c>
      <c r="AD82" s="145">
        <f t="shared" si="13"/>
        <v>0</v>
      </c>
    </row>
    <row r="83" spans="29:30" x14ac:dyDescent="0.15">
      <c r="AC83" s="145">
        <f t="shared" si="12"/>
        <v>0</v>
      </c>
      <c r="AD83" s="145">
        <f t="shared" si="13"/>
        <v>0</v>
      </c>
    </row>
    <row r="84" spans="29:30" x14ac:dyDescent="0.15">
      <c r="AC84" s="145" t="str">
        <f t="shared" si="12"/>
        <v>廣澤</v>
      </c>
      <c r="AD84" s="145">
        <f t="shared" si="13"/>
        <v>0</v>
      </c>
    </row>
    <row r="85" spans="29:30" x14ac:dyDescent="0.15">
      <c r="AC85" s="145">
        <f t="shared" si="12"/>
        <v>0</v>
      </c>
      <c r="AD85" s="145">
        <f t="shared" si="13"/>
        <v>0</v>
      </c>
    </row>
    <row r="86" spans="29:30" x14ac:dyDescent="0.15">
      <c r="AC86" s="145">
        <f t="shared" si="12"/>
        <v>0</v>
      </c>
      <c r="AD86" s="145">
        <f t="shared" si="13"/>
        <v>0</v>
      </c>
    </row>
    <row r="87" spans="29:30" x14ac:dyDescent="0.15">
      <c r="AC87" s="145">
        <f t="shared" si="12"/>
        <v>0</v>
      </c>
      <c r="AD87" s="145">
        <f t="shared" si="13"/>
        <v>0</v>
      </c>
    </row>
    <row r="88" spans="29:30" x14ac:dyDescent="0.15">
      <c r="AC88" s="145">
        <f t="shared" si="12"/>
        <v>0</v>
      </c>
      <c r="AD88" s="145">
        <f t="shared" si="13"/>
        <v>0</v>
      </c>
    </row>
    <row r="89" spans="29:30" x14ac:dyDescent="0.15">
      <c r="AC89" s="145" t="str">
        <f t="shared" si="12"/>
        <v>廣澤</v>
      </c>
      <c r="AD89" s="145">
        <f t="shared" si="13"/>
        <v>0</v>
      </c>
    </row>
    <row r="90" spans="29:30" x14ac:dyDescent="0.15">
      <c r="AC90" s="145">
        <f t="shared" si="12"/>
        <v>0</v>
      </c>
      <c r="AD90" s="145">
        <f t="shared" si="13"/>
        <v>0</v>
      </c>
    </row>
    <row r="91" spans="29:30" x14ac:dyDescent="0.15">
      <c r="AC91" s="145" t="str">
        <f t="shared" si="12"/>
        <v>廣澤</v>
      </c>
      <c r="AD91" s="145">
        <f t="shared" si="13"/>
        <v>0</v>
      </c>
    </row>
    <row r="92" spans="29:30" x14ac:dyDescent="0.15">
      <c r="AC92" s="145">
        <f t="shared" si="12"/>
        <v>0</v>
      </c>
      <c r="AD92" s="145">
        <f t="shared" si="13"/>
        <v>0</v>
      </c>
    </row>
    <row r="93" spans="29:30" x14ac:dyDescent="0.15">
      <c r="AC93" s="145">
        <f t="shared" si="12"/>
        <v>0</v>
      </c>
      <c r="AD93" s="145">
        <f t="shared" si="13"/>
        <v>0</v>
      </c>
    </row>
    <row r="94" spans="29:30" x14ac:dyDescent="0.15">
      <c r="AC94" s="145">
        <f t="shared" si="12"/>
        <v>0</v>
      </c>
      <c r="AD94" s="145">
        <f t="shared" si="13"/>
        <v>0</v>
      </c>
    </row>
    <row r="95" spans="29:30" x14ac:dyDescent="0.15">
      <c r="AC95" s="145">
        <f t="shared" si="12"/>
        <v>0</v>
      </c>
      <c r="AD95" s="145">
        <f t="shared" si="13"/>
        <v>0</v>
      </c>
    </row>
    <row r="96" spans="29:30" x14ac:dyDescent="0.15">
      <c r="AC96" s="145" t="str">
        <f t="shared" si="12"/>
        <v>廣澤</v>
      </c>
      <c r="AD96" s="145">
        <f t="shared" si="13"/>
        <v>0</v>
      </c>
    </row>
    <row r="97" spans="29:30" x14ac:dyDescent="0.15">
      <c r="AC97" s="145">
        <f t="shared" si="12"/>
        <v>0</v>
      </c>
      <c r="AD97" s="145">
        <f t="shared" si="13"/>
        <v>0</v>
      </c>
    </row>
    <row r="98" spans="29:30" x14ac:dyDescent="0.15">
      <c r="AC98" s="145" t="str">
        <f t="shared" si="12"/>
        <v>廣澤</v>
      </c>
      <c r="AD98" s="145">
        <f t="shared" si="13"/>
        <v>0</v>
      </c>
    </row>
    <row r="99" spans="29:30" x14ac:dyDescent="0.15">
      <c r="AC99" s="145">
        <f t="shared" si="12"/>
        <v>0</v>
      </c>
      <c r="AD99" s="145">
        <f t="shared" si="13"/>
        <v>0</v>
      </c>
    </row>
    <row r="100" spans="29:30" x14ac:dyDescent="0.15">
      <c r="AC100" s="145">
        <f t="shared" si="12"/>
        <v>0</v>
      </c>
      <c r="AD100" s="145">
        <f t="shared" si="13"/>
        <v>0</v>
      </c>
    </row>
    <row r="101" spans="29:30" x14ac:dyDescent="0.15">
      <c r="AC101" s="145">
        <f t="shared" si="12"/>
        <v>0</v>
      </c>
      <c r="AD101" s="145">
        <f t="shared" si="13"/>
        <v>0</v>
      </c>
    </row>
  </sheetData>
  <autoFilter ref="A11:H43" xr:uid="{00000000-0009-0000-0000-000002000000}">
    <filterColumn colId="2" showButton="0"/>
  </autoFilter>
  <mergeCells count="13">
    <mergeCell ref="B1:O1"/>
    <mergeCell ref="C4:H4"/>
    <mergeCell ref="I4:J4"/>
    <mergeCell ref="L4:M4"/>
    <mergeCell ref="C6:H6"/>
    <mergeCell ref="I6:J6"/>
    <mergeCell ref="L6:M6"/>
    <mergeCell ref="I8:J8"/>
    <mergeCell ref="L8:M8"/>
    <mergeCell ref="C10:E10"/>
    <mergeCell ref="F10:H10"/>
    <mergeCell ref="I10:K10"/>
    <mergeCell ref="L10:N10"/>
  </mergeCells>
  <phoneticPr fontId="1"/>
  <printOptions horizontalCentered="1"/>
  <pageMargins left="0.47244094488188981" right="0.47244094488188981" top="0.74803149606299213" bottom="0.74803149606299213" header="0.31496062992125984" footer="0.31496062992125984"/>
  <pageSetup paperSize="9" orientation="portrait" horizontalDpi="4294967293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S93"/>
  <sheetViews>
    <sheetView showGridLines="0" topLeftCell="A7" zoomScaleNormal="100" zoomScaleSheetLayoutView="100" workbookViewId="0">
      <selection activeCell="J4" sqref="J4"/>
    </sheetView>
  </sheetViews>
  <sheetFormatPr defaultColWidth="9" defaultRowHeight="13.5" x14ac:dyDescent="0.15"/>
  <cols>
    <col min="1" max="1" width="2.75" style="53" customWidth="1"/>
    <col min="2" max="2" width="5.875" style="54" customWidth="1"/>
    <col min="3" max="3" width="7.125" style="54" customWidth="1"/>
    <col min="4" max="4" width="7.125" style="58" customWidth="1"/>
    <col min="5" max="5" width="12.5" style="54" customWidth="1"/>
    <col min="6" max="7" width="7.125" style="54" customWidth="1"/>
    <col min="8" max="8" width="12.5" style="54" customWidth="1"/>
    <col min="9" max="16384" width="9" style="54"/>
  </cols>
  <sheetData>
    <row r="1" spans="1:19" ht="21" x14ac:dyDescent="0.15">
      <c r="B1" s="277" t="s">
        <v>31</v>
      </c>
      <c r="C1" s="277"/>
      <c r="D1" s="277"/>
      <c r="E1" s="277"/>
      <c r="F1" s="277"/>
      <c r="G1" s="277"/>
      <c r="H1" s="277"/>
    </row>
    <row r="2" spans="1:19" ht="18" customHeight="1" x14ac:dyDescent="0.15">
      <c r="B2" s="55"/>
      <c r="C2" s="55"/>
      <c r="D2" s="55"/>
      <c r="E2" s="55"/>
      <c r="F2" s="55"/>
      <c r="G2" s="55"/>
      <c r="H2" s="56"/>
    </row>
    <row r="3" spans="1:19" ht="7.5" customHeight="1" x14ac:dyDescent="0.15">
      <c r="B3" s="57"/>
    </row>
    <row r="4" spans="1:19" ht="18" customHeight="1" x14ac:dyDescent="0.15">
      <c r="B4" s="59" t="s">
        <v>32</v>
      </c>
      <c r="C4" s="278"/>
      <c r="D4" s="278"/>
      <c r="G4" s="90" t="s">
        <v>33</v>
      </c>
      <c r="H4" s="60">
        <f>SUM(I12:I42)</f>
        <v>90000</v>
      </c>
      <c r="P4" s="67" cm="1">
        <f t="array" ref="P4:P5">_xlfn._xlws.SORT(_xlfn.UNIQUE(D12:D42))</f>
        <v>60</v>
      </c>
      <c r="Q4" s="67">
        <f>COUNTIFS($D$12:$D$42,P4)</f>
        <v>15</v>
      </c>
    </row>
    <row r="5" spans="1:19" ht="7.5" customHeight="1" x14ac:dyDescent="0.15">
      <c r="P5" s="67">
        <v>0</v>
      </c>
      <c r="Q5" s="67">
        <f t="shared" ref="Q5:Q14" si="0">COUNTIFS($D$12:$D$42,P5)</f>
        <v>0</v>
      </c>
    </row>
    <row r="6" spans="1:19" ht="18" customHeight="1" x14ac:dyDescent="0.15">
      <c r="B6" s="59" t="s">
        <v>34</v>
      </c>
      <c r="C6" s="279"/>
      <c r="D6" s="279"/>
      <c r="E6" s="279"/>
      <c r="G6" s="90" t="s">
        <v>19</v>
      </c>
      <c r="H6" s="60">
        <f>COUNTIF(C12:H42,"&gt;１０００")</f>
        <v>15</v>
      </c>
      <c r="P6" s="67"/>
      <c r="Q6" s="67">
        <f t="shared" si="0"/>
        <v>0</v>
      </c>
    </row>
    <row r="7" spans="1:19" ht="7.5" customHeight="1" x14ac:dyDescent="0.15">
      <c r="B7" s="62"/>
      <c r="C7" s="62"/>
      <c r="D7" s="64"/>
      <c r="P7" s="67"/>
      <c r="Q7" s="67">
        <f t="shared" si="0"/>
        <v>0</v>
      </c>
    </row>
    <row r="8" spans="1:19" ht="18" customHeight="1" x14ac:dyDescent="0.15">
      <c r="B8" s="62"/>
      <c r="C8" s="62"/>
      <c r="D8" s="64"/>
      <c r="G8" s="90" t="s">
        <v>35</v>
      </c>
      <c r="H8" s="149">
        <f>COUNTIF(I12:I42,"&gt;１０００")</f>
        <v>15</v>
      </c>
      <c r="P8" s="67"/>
      <c r="Q8" s="67">
        <f t="shared" si="0"/>
        <v>0</v>
      </c>
    </row>
    <row r="9" spans="1:19" ht="25.5" customHeight="1" x14ac:dyDescent="0.15">
      <c r="P9" s="67"/>
      <c r="Q9" s="67">
        <f t="shared" si="0"/>
        <v>0</v>
      </c>
      <c r="S9"/>
    </row>
    <row r="10" spans="1:19" ht="25.5" customHeight="1" thickBot="1" x14ac:dyDescent="0.2">
      <c r="B10" s="67"/>
      <c r="C10" s="274" t="s">
        <v>36</v>
      </c>
      <c r="D10" s="275"/>
      <c r="E10" s="276"/>
      <c r="F10" s="274" t="s">
        <v>37</v>
      </c>
      <c r="G10" s="275"/>
      <c r="H10" s="276"/>
      <c r="I10" s="67"/>
      <c r="P10" s="67"/>
      <c r="Q10" s="67">
        <f t="shared" si="0"/>
        <v>0</v>
      </c>
      <c r="S10"/>
    </row>
    <row r="11" spans="1:19" s="58" customFormat="1" ht="18" customHeight="1" thickBot="1" x14ac:dyDescent="0.2">
      <c r="A11" s="68"/>
      <c r="B11" s="69" t="s">
        <v>40</v>
      </c>
      <c r="C11" s="91" t="s">
        <v>41</v>
      </c>
      <c r="D11" s="71" t="s">
        <v>6</v>
      </c>
      <c r="E11" s="71" t="s">
        <v>42</v>
      </c>
      <c r="F11" s="92" t="s">
        <v>41</v>
      </c>
      <c r="G11" s="71" t="s">
        <v>6</v>
      </c>
      <c r="H11" s="73" t="s">
        <v>42</v>
      </c>
      <c r="I11" s="74" t="s">
        <v>8</v>
      </c>
      <c r="K11" s="75"/>
      <c r="P11" s="74" t="str">
        <f>IFERROR(SMALL(K4:K15,8),"")</f>
        <v/>
      </c>
      <c r="Q11" s="67">
        <f t="shared" si="0"/>
        <v>16</v>
      </c>
      <c r="S11"/>
    </row>
    <row r="12" spans="1:19" ht="18" customHeight="1" x14ac:dyDescent="0.15">
      <c r="A12" s="53">
        <v>1</v>
      </c>
      <c r="B12" s="76">
        <f>施術内訳書!B12</f>
        <v>44652</v>
      </c>
      <c r="C12" s="93" t="s">
        <v>56</v>
      </c>
      <c r="D12" s="74">
        <v>60</v>
      </c>
      <c r="E12" s="74">
        <v>6000</v>
      </c>
      <c r="F12" s="105"/>
      <c r="G12" s="74"/>
      <c r="H12" s="96"/>
      <c r="I12" s="98">
        <f>SUM(E12,H12)</f>
        <v>6000</v>
      </c>
      <c r="N12" s="54" t="str">
        <f>施術内訳書!T12</f>
        <v>金</v>
      </c>
      <c r="P12" s="67" t="str">
        <f>IFERROR(SMALL(K4:K15,9),"")</f>
        <v/>
      </c>
      <c r="Q12" s="67">
        <f t="shared" si="0"/>
        <v>16</v>
      </c>
      <c r="S12"/>
    </row>
    <row r="13" spans="1:19" ht="18" customHeight="1" x14ac:dyDescent="0.15">
      <c r="A13" s="53">
        <v>2</v>
      </c>
      <c r="B13" s="76">
        <f>施術内訳書!B13</f>
        <v>44653</v>
      </c>
      <c r="C13" s="105"/>
      <c r="D13" s="74"/>
      <c r="E13" s="74"/>
      <c r="F13" s="105"/>
      <c r="G13" s="74"/>
      <c r="H13" s="97"/>
      <c r="I13" s="98">
        <f t="shared" ref="I13:I42" si="1">SUM(E13,H13)</f>
        <v>0</v>
      </c>
      <c r="N13" s="54" t="str">
        <f>施術内訳書!T13</f>
        <v>土</v>
      </c>
      <c r="P13" s="67" t="str">
        <f>IFERROR(SMALL(K4:K15,10),"")</f>
        <v/>
      </c>
      <c r="Q13" s="67">
        <f t="shared" si="0"/>
        <v>16</v>
      </c>
      <c r="S13"/>
    </row>
    <row r="14" spans="1:19" ht="18" customHeight="1" x14ac:dyDescent="0.15">
      <c r="A14" s="53">
        <v>3</v>
      </c>
      <c r="B14" s="76">
        <f>施術内訳書!B14</f>
        <v>44654</v>
      </c>
      <c r="C14" s="105"/>
      <c r="D14" s="74"/>
      <c r="E14" s="74"/>
      <c r="F14" s="105"/>
      <c r="G14" s="74"/>
      <c r="H14" s="97"/>
      <c r="I14" s="98">
        <f t="shared" si="1"/>
        <v>0</v>
      </c>
      <c r="N14" s="54" t="str">
        <f>施術内訳書!T14</f>
        <v>日</v>
      </c>
      <c r="P14" s="67" t="str">
        <f>IFERROR(SMALL(K4:K15,11),"")</f>
        <v/>
      </c>
      <c r="Q14" s="67">
        <f t="shared" si="0"/>
        <v>16</v>
      </c>
      <c r="S14"/>
    </row>
    <row r="15" spans="1:19" ht="18" customHeight="1" x14ac:dyDescent="0.15">
      <c r="A15" s="53">
        <v>4</v>
      </c>
      <c r="B15" s="76">
        <f>施術内訳書!B15</f>
        <v>44655</v>
      </c>
      <c r="C15" s="105" t="s">
        <v>56</v>
      </c>
      <c r="D15" s="74">
        <v>60</v>
      </c>
      <c r="E15" s="74">
        <v>6000</v>
      </c>
      <c r="F15" s="105"/>
      <c r="G15" s="74"/>
      <c r="H15" s="97"/>
      <c r="I15" s="98">
        <f t="shared" si="1"/>
        <v>6000</v>
      </c>
      <c r="N15" s="54" t="str">
        <f>施術内訳書!T15</f>
        <v>月</v>
      </c>
      <c r="P15" s="54" t="str">
        <f>IFERROR(SMALL(K4:K15,12),"")</f>
        <v/>
      </c>
      <c r="Q15"/>
      <c r="S15"/>
    </row>
    <row r="16" spans="1:19" ht="18" customHeight="1" x14ac:dyDescent="0.15">
      <c r="A16" s="53">
        <v>5</v>
      </c>
      <c r="B16" s="76">
        <f>施術内訳書!B16</f>
        <v>44656</v>
      </c>
      <c r="C16" s="105" t="s">
        <v>56</v>
      </c>
      <c r="D16" s="74">
        <v>60</v>
      </c>
      <c r="E16" s="74">
        <v>6000</v>
      </c>
      <c r="F16" s="105"/>
      <c r="G16" s="74"/>
      <c r="H16" s="97"/>
      <c r="I16" s="98">
        <f t="shared" si="1"/>
        <v>6000</v>
      </c>
      <c r="N16" s="54" t="str">
        <f>施術内訳書!T16</f>
        <v>火</v>
      </c>
      <c r="Q16"/>
      <c r="S16"/>
    </row>
    <row r="17" spans="1:19" ht="18" customHeight="1" x14ac:dyDescent="0.15">
      <c r="A17" s="53">
        <v>6</v>
      </c>
      <c r="B17" s="76">
        <f>施術内訳書!B17</f>
        <v>44657</v>
      </c>
      <c r="C17" s="105"/>
      <c r="D17" s="74"/>
      <c r="E17" s="74"/>
      <c r="F17" s="105"/>
      <c r="G17" s="74"/>
      <c r="H17" s="97"/>
      <c r="I17" s="98">
        <f t="shared" si="1"/>
        <v>0</v>
      </c>
      <c r="N17" s="54" t="str">
        <f>施術内訳書!T17</f>
        <v>水</v>
      </c>
      <c r="Q17"/>
      <c r="S17"/>
    </row>
    <row r="18" spans="1:19" ht="18" customHeight="1" x14ac:dyDescent="0.15">
      <c r="A18" s="53">
        <v>7</v>
      </c>
      <c r="B18" s="76">
        <f>施術内訳書!B18</f>
        <v>44658</v>
      </c>
      <c r="C18" s="105" t="s">
        <v>56</v>
      </c>
      <c r="D18" s="74">
        <v>60</v>
      </c>
      <c r="E18" s="74">
        <v>6000</v>
      </c>
      <c r="F18" s="105"/>
      <c r="G18" s="74"/>
      <c r="H18" s="97"/>
      <c r="I18" s="98">
        <f t="shared" si="1"/>
        <v>6000</v>
      </c>
      <c r="N18" s="54" t="str">
        <f>施術内訳書!T18</f>
        <v>木</v>
      </c>
      <c r="Q18"/>
      <c r="S18"/>
    </row>
    <row r="19" spans="1:19" ht="18" customHeight="1" x14ac:dyDescent="0.15">
      <c r="A19" s="53">
        <v>8</v>
      </c>
      <c r="B19" s="76">
        <f>施術内訳書!B19</f>
        <v>44659</v>
      </c>
      <c r="C19" s="105"/>
      <c r="D19" s="74"/>
      <c r="E19" s="74"/>
      <c r="F19" s="105"/>
      <c r="G19" s="74"/>
      <c r="H19" s="97"/>
      <c r="I19" s="98">
        <f t="shared" si="1"/>
        <v>0</v>
      </c>
      <c r="N19" s="54" t="str">
        <f>施術内訳書!T19</f>
        <v>金</v>
      </c>
      <c r="Q19"/>
      <c r="S19"/>
    </row>
    <row r="20" spans="1:19" ht="18" customHeight="1" x14ac:dyDescent="0.15">
      <c r="A20" s="53">
        <v>9</v>
      </c>
      <c r="B20" s="76">
        <f>施術内訳書!B20</f>
        <v>44660</v>
      </c>
      <c r="C20" s="105"/>
      <c r="D20" s="74"/>
      <c r="E20" s="74"/>
      <c r="F20" s="105"/>
      <c r="G20" s="74"/>
      <c r="H20" s="97"/>
      <c r="I20" s="98">
        <f t="shared" si="1"/>
        <v>0</v>
      </c>
      <c r="N20" s="54" t="str">
        <f>施術内訳書!T20</f>
        <v>土</v>
      </c>
      <c r="Q20"/>
      <c r="S20"/>
    </row>
    <row r="21" spans="1:19" ht="18" customHeight="1" x14ac:dyDescent="0.15">
      <c r="A21" s="53">
        <v>10</v>
      </c>
      <c r="B21" s="76">
        <f>施術内訳書!B21</f>
        <v>44661</v>
      </c>
      <c r="C21" s="105"/>
      <c r="D21" s="74"/>
      <c r="E21" s="74"/>
      <c r="F21" s="105"/>
      <c r="G21" s="74"/>
      <c r="H21" s="97"/>
      <c r="I21" s="98">
        <f t="shared" si="1"/>
        <v>0</v>
      </c>
      <c r="N21" s="54" t="str">
        <f>施術内訳書!T21</f>
        <v>日</v>
      </c>
      <c r="Q21"/>
      <c r="S21"/>
    </row>
    <row r="22" spans="1:19" ht="18" customHeight="1" x14ac:dyDescent="0.15">
      <c r="A22" s="53">
        <v>11</v>
      </c>
      <c r="B22" s="76">
        <f>施術内訳書!B22</f>
        <v>44662</v>
      </c>
      <c r="C22" s="105" t="s">
        <v>56</v>
      </c>
      <c r="D22" s="74">
        <v>60</v>
      </c>
      <c r="E22" s="74">
        <v>6000</v>
      </c>
      <c r="F22" s="105"/>
      <c r="G22" s="74"/>
      <c r="H22" s="97"/>
      <c r="I22" s="98">
        <f t="shared" si="1"/>
        <v>6000</v>
      </c>
      <c r="N22" s="54" t="str">
        <f>施術内訳書!T22</f>
        <v>月</v>
      </c>
      <c r="Q22"/>
      <c r="S22"/>
    </row>
    <row r="23" spans="1:19" ht="18" customHeight="1" x14ac:dyDescent="0.15">
      <c r="A23" s="53">
        <v>12</v>
      </c>
      <c r="B23" s="76">
        <f>施術内訳書!B23</f>
        <v>44663</v>
      </c>
      <c r="C23" s="105" t="s">
        <v>56</v>
      </c>
      <c r="D23" s="74">
        <v>60</v>
      </c>
      <c r="E23" s="74">
        <v>6000</v>
      </c>
      <c r="F23" s="105"/>
      <c r="G23" s="74"/>
      <c r="H23" s="97"/>
      <c r="I23" s="98">
        <f t="shared" si="1"/>
        <v>6000</v>
      </c>
      <c r="N23" s="54" t="str">
        <f>施術内訳書!T23</f>
        <v>火</v>
      </c>
      <c r="Q23"/>
      <c r="S23"/>
    </row>
    <row r="24" spans="1:19" ht="18" customHeight="1" x14ac:dyDescent="0.15">
      <c r="A24" s="53">
        <v>13</v>
      </c>
      <c r="B24" s="76">
        <f>施術内訳書!B24</f>
        <v>44664</v>
      </c>
      <c r="C24" s="105"/>
      <c r="D24" s="74"/>
      <c r="E24" s="74"/>
      <c r="F24" s="105"/>
      <c r="G24" s="74"/>
      <c r="H24" s="97"/>
      <c r="I24" s="98">
        <f t="shared" si="1"/>
        <v>0</v>
      </c>
      <c r="N24" s="54" t="str">
        <f>施術内訳書!T24</f>
        <v>水</v>
      </c>
      <c r="Q24"/>
      <c r="S24"/>
    </row>
    <row r="25" spans="1:19" ht="18" customHeight="1" x14ac:dyDescent="0.15">
      <c r="A25" s="53">
        <v>14</v>
      </c>
      <c r="B25" s="76">
        <f>施術内訳書!B25</f>
        <v>44665</v>
      </c>
      <c r="C25" s="105"/>
      <c r="D25" s="74"/>
      <c r="E25" s="74"/>
      <c r="F25" s="105"/>
      <c r="G25" s="74"/>
      <c r="H25" s="97"/>
      <c r="I25" s="98">
        <f t="shared" si="1"/>
        <v>0</v>
      </c>
      <c r="N25" s="54" t="str">
        <f>施術内訳書!T25</f>
        <v>木</v>
      </c>
      <c r="Q25"/>
      <c r="S25"/>
    </row>
    <row r="26" spans="1:19" ht="18" customHeight="1" x14ac:dyDescent="0.15">
      <c r="A26" s="53">
        <v>15</v>
      </c>
      <c r="B26" s="76">
        <f>施術内訳書!B26</f>
        <v>44666</v>
      </c>
      <c r="C26" s="105" t="s">
        <v>56</v>
      </c>
      <c r="D26" s="74">
        <v>60</v>
      </c>
      <c r="E26" s="74">
        <v>6000</v>
      </c>
      <c r="F26" s="105"/>
      <c r="G26" s="74"/>
      <c r="H26" s="97"/>
      <c r="I26" s="98">
        <f t="shared" si="1"/>
        <v>6000</v>
      </c>
      <c r="N26" s="54" t="str">
        <f>施術内訳書!T26</f>
        <v>金</v>
      </c>
      <c r="Q26"/>
      <c r="S26"/>
    </row>
    <row r="27" spans="1:19" ht="18" customHeight="1" x14ac:dyDescent="0.15">
      <c r="A27" s="53">
        <v>16</v>
      </c>
      <c r="B27" s="76">
        <f>施術内訳書!B27</f>
        <v>44667</v>
      </c>
      <c r="C27" s="105"/>
      <c r="D27" s="74"/>
      <c r="E27" s="74"/>
      <c r="F27" s="105"/>
      <c r="G27" s="74"/>
      <c r="H27" s="97"/>
      <c r="I27" s="98">
        <f t="shared" si="1"/>
        <v>0</v>
      </c>
      <c r="N27" s="54" t="str">
        <f>施術内訳書!T27</f>
        <v>土</v>
      </c>
      <c r="Q27"/>
      <c r="S27"/>
    </row>
    <row r="28" spans="1:19" ht="18" customHeight="1" x14ac:dyDescent="0.15">
      <c r="A28" s="53">
        <v>17</v>
      </c>
      <c r="B28" s="76">
        <f>施術内訳書!B28</f>
        <v>44668</v>
      </c>
      <c r="C28" s="105"/>
      <c r="D28" s="74"/>
      <c r="E28" s="74"/>
      <c r="F28" s="105"/>
      <c r="G28" s="74"/>
      <c r="H28" s="97"/>
      <c r="I28" s="98">
        <f t="shared" si="1"/>
        <v>0</v>
      </c>
      <c r="N28" s="54" t="str">
        <f>施術内訳書!T28</f>
        <v>日</v>
      </c>
      <c r="Q28"/>
      <c r="S28"/>
    </row>
    <row r="29" spans="1:19" ht="18" customHeight="1" x14ac:dyDescent="0.15">
      <c r="A29" s="53">
        <v>18</v>
      </c>
      <c r="B29" s="76">
        <f>施術内訳書!B29</f>
        <v>44669</v>
      </c>
      <c r="C29" s="105" t="s">
        <v>56</v>
      </c>
      <c r="D29" s="74">
        <v>60</v>
      </c>
      <c r="E29" s="74">
        <v>6000</v>
      </c>
      <c r="F29" s="105"/>
      <c r="G29" s="74"/>
      <c r="H29" s="97"/>
      <c r="I29" s="98">
        <f t="shared" si="1"/>
        <v>6000</v>
      </c>
      <c r="N29" s="54" t="str">
        <f>施術内訳書!T29</f>
        <v>月</v>
      </c>
      <c r="Q29"/>
      <c r="S29"/>
    </row>
    <row r="30" spans="1:19" ht="18" customHeight="1" x14ac:dyDescent="0.15">
      <c r="A30" s="53">
        <v>19</v>
      </c>
      <c r="B30" s="76">
        <f>施術内訳書!B30</f>
        <v>44670</v>
      </c>
      <c r="C30" s="105" t="s">
        <v>56</v>
      </c>
      <c r="D30" s="74">
        <v>60</v>
      </c>
      <c r="E30" s="74">
        <v>6000</v>
      </c>
      <c r="F30" s="105"/>
      <c r="G30" s="74"/>
      <c r="H30" s="97"/>
      <c r="I30" s="98">
        <f t="shared" si="1"/>
        <v>6000</v>
      </c>
      <c r="N30" s="54" t="str">
        <f>施術内訳書!T30</f>
        <v>火</v>
      </c>
      <c r="Q30"/>
      <c r="S30"/>
    </row>
    <row r="31" spans="1:19" ht="18" customHeight="1" x14ac:dyDescent="0.15">
      <c r="A31" s="53">
        <v>20</v>
      </c>
      <c r="B31" s="76">
        <f>施術内訳書!B31</f>
        <v>44671</v>
      </c>
      <c r="C31" s="105"/>
      <c r="D31" s="74"/>
      <c r="E31" s="74"/>
      <c r="F31" s="105"/>
      <c r="G31" s="74"/>
      <c r="H31" s="97"/>
      <c r="I31" s="98">
        <f t="shared" si="1"/>
        <v>0</v>
      </c>
      <c r="N31" s="54" t="str">
        <f>施術内訳書!T31</f>
        <v>水</v>
      </c>
      <c r="Q31"/>
      <c r="S31"/>
    </row>
    <row r="32" spans="1:19" ht="18" customHeight="1" x14ac:dyDescent="0.15">
      <c r="A32" s="53">
        <v>21</v>
      </c>
      <c r="B32" s="76">
        <f>施術内訳書!B32</f>
        <v>44672</v>
      </c>
      <c r="C32" s="105" t="s">
        <v>56</v>
      </c>
      <c r="D32" s="74">
        <v>60</v>
      </c>
      <c r="E32" s="74">
        <v>6000</v>
      </c>
      <c r="F32" s="105"/>
      <c r="G32" s="74"/>
      <c r="H32" s="97"/>
      <c r="I32" s="98">
        <f t="shared" si="1"/>
        <v>6000</v>
      </c>
      <c r="N32" s="54" t="str">
        <f>施術内訳書!T32</f>
        <v>木</v>
      </c>
      <c r="Q32"/>
      <c r="R32" s="54" t="s">
        <v>33</v>
      </c>
      <c r="S32"/>
    </row>
    <row r="33" spans="1:19" ht="18" customHeight="1" x14ac:dyDescent="0.15">
      <c r="A33" s="53">
        <v>22</v>
      </c>
      <c r="B33" s="76">
        <f>施術内訳書!B33</f>
        <v>44673</v>
      </c>
      <c r="C33" s="105" t="s">
        <v>56</v>
      </c>
      <c r="D33" s="74">
        <v>60</v>
      </c>
      <c r="E33" s="74">
        <v>6000</v>
      </c>
      <c r="F33" s="105"/>
      <c r="G33" s="74"/>
      <c r="H33" s="97"/>
      <c r="I33" s="98">
        <f t="shared" si="1"/>
        <v>6000</v>
      </c>
      <c r="N33" s="54" t="str">
        <f>施術内訳書!T33</f>
        <v>金</v>
      </c>
      <c r="Q33"/>
      <c r="S33"/>
    </row>
    <row r="34" spans="1:19" ht="18" customHeight="1" x14ac:dyDescent="0.15">
      <c r="A34" s="53">
        <v>23</v>
      </c>
      <c r="B34" s="76">
        <f>施術内訳書!B34</f>
        <v>44674</v>
      </c>
      <c r="C34" s="105"/>
      <c r="D34" s="74"/>
      <c r="E34" s="74"/>
      <c r="F34" s="105"/>
      <c r="G34" s="74"/>
      <c r="H34" s="97"/>
      <c r="I34" s="98">
        <f t="shared" si="1"/>
        <v>0</v>
      </c>
      <c r="N34" s="54" t="str">
        <f>施術内訳書!T34</f>
        <v>土</v>
      </c>
      <c r="Q34"/>
      <c r="R34" s="54" t="s">
        <v>19</v>
      </c>
      <c r="S34"/>
    </row>
    <row r="35" spans="1:19" ht="18" customHeight="1" x14ac:dyDescent="0.15">
      <c r="A35" s="53">
        <v>24</v>
      </c>
      <c r="B35" s="76">
        <f>施術内訳書!B35</f>
        <v>44675</v>
      </c>
      <c r="C35" s="105"/>
      <c r="D35" s="74"/>
      <c r="E35" s="74"/>
      <c r="F35" s="105"/>
      <c r="G35" s="74"/>
      <c r="H35" s="97"/>
      <c r="I35" s="98">
        <f t="shared" si="1"/>
        <v>0</v>
      </c>
      <c r="N35" s="54" t="str">
        <f>施術内訳書!T35</f>
        <v>日</v>
      </c>
      <c r="Q35"/>
      <c r="S35"/>
    </row>
    <row r="36" spans="1:19" ht="18" customHeight="1" x14ac:dyDescent="0.15">
      <c r="A36" s="53">
        <v>25</v>
      </c>
      <c r="B36" s="76">
        <f>施術内訳書!B36</f>
        <v>44676</v>
      </c>
      <c r="C36" s="105" t="s">
        <v>56</v>
      </c>
      <c r="D36" s="74">
        <v>60</v>
      </c>
      <c r="E36" s="74">
        <v>6000</v>
      </c>
      <c r="F36" s="105"/>
      <c r="G36" s="74"/>
      <c r="H36" s="97"/>
      <c r="I36" s="98">
        <f t="shared" si="1"/>
        <v>6000</v>
      </c>
      <c r="K36" s="80"/>
      <c r="N36" s="54" t="str">
        <f>施術内訳書!T36</f>
        <v>月</v>
      </c>
      <c r="Q36"/>
      <c r="R36" s="54" t="s">
        <v>35</v>
      </c>
      <c r="S36"/>
    </row>
    <row r="37" spans="1:19" ht="18" customHeight="1" x14ac:dyDescent="0.15">
      <c r="A37" s="53">
        <v>26</v>
      </c>
      <c r="B37" s="76">
        <f>施術内訳書!B37</f>
        <v>44677</v>
      </c>
      <c r="C37" s="105" t="s">
        <v>56</v>
      </c>
      <c r="D37" s="74">
        <v>60</v>
      </c>
      <c r="E37" s="74">
        <v>6000</v>
      </c>
      <c r="F37" s="105"/>
      <c r="G37" s="74"/>
      <c r="H37" s="97"/>
      <c r="I37" s="98">
        <f t="shared" si="1"/>
        <v>6000</v>
      </c>
      <c r="N37" s="54" t="str">
        <f>施術内訳書!T37</f>
        <v>火</v>
      </c>
      <c r="Q37"/>
      <c r="S37"/>
    </row>
    <row r="38" spans="1:19" ht="18" customHeight="1" x14ac:dyDescent="0.15">
      <c r="A38" s="53">
        <v>27</v>
      </c>
      <c r="B38" s="76">
        <f>施術内訳書!B38</f>
        <v>44678</v>
      </c>
      <c r="C38" s="105"/>
      <c r="D38" s="74"/>
      <c r="E38" s="74"/>
      <c r="F38" s="105"/>
      <c r="G38" s="74"/>
      <c r="H38" s="97"/>
      <c r="I38" s="98">
        <f t="shared" si="1"/>
        <v>0</v>
      </c>
      <c r="N38" s="54" t="str">
        <f>施術内訳書!T38</f>
        <v>水</v>
      </c>
      <c r="Q38"/>
      <c r="S38"/>
    </row>
    <row r="39" spans="1:19" ht="18" customHeight="1" x14ac:dyDescent="0.15">
      <c r="A39" s="53">
        <v>28</v>
      </c>
      <c r="B39" s="76">
        <f>施術内訳書!B39</f>
        <v>44679</v>
      </c>
      <c r="C39" s="105" t="s">
        <v>56</v>
      </c>
      <c r="D39" s="74">
        <v>60</v>
      </c>
      <c r="E39" s="74">
        <v>6000</v>
      </c>
      <c r="F39" s="105"/>
      <c r="G39" s="74"/>
      <c r="H39" s="97"/>
      <c r="I39" s="98">
        <f t="shared" si="1"/>
        <v>6000</v>
      </c>
      <c r="N39" s="54" t="str">
        <f>施術内訳書!T39</f>
        <v>木</v>
      </c>
      <c r="Q39"/>
      <c r="R39" s="54" t="s">
        <v>6</v>
      </c>
      <c r="S39"/>
    </row>
    <row r="40" spans="1:19" ht="18" customHeight="1" x14ac:dyDescent="0.15">
      <c r="A40" s="53">
        <v>29</v>
      </c>
      <c r="B40" s="76">
        <f>施術内訳書!B40</f>
        <v>44680</v>
      </c>
      <c r="C40" s="105" t="s">
        <v>56</v>
      </c>
      <c r="D40" s="74">
        <v>60</v>
      </c>
      <c r="E40" s="74">
        <v>6000</v>
      </c>
      <c r="F40" s="105"/>
      <c r="G40" s="74"/>
      <c r="H40" s="97"/>
      <c r="I40" s="98">
        <f t="shared" si="1"/>
        <v>6000</v>
      </c>
      <c r="N40" s="54" t="str">
        <f>施術内訳書!T40</f>
        <v>金</v>
      </c>
      <c r="Q40"/>
      <c r="S40"/>
    </row>
    <row r="41" spans="1:19" ht="18" customHeight="1" x14ac:dyDescent="0.15">
      <c r="A41" s="53">
        <v>30</v>
      </c>
      <c r="B41" s="76">
        <f>施術内訳書!B41</f>
        <v>44681</v>
      </c>
      <c r="C41" s="105"/>
      <c r="D41" s="74"/>
      <c r="E41" s="74"/>
      <c r="F41" s="105"/>
      <c r="G41" s="74"/>
      <c r="H41" s="97"/>
      <c r="I41" s="98">
        <f t="shared" si="1"/>
        <v>0</v>
      </c>
      <c r="N41" s="54" t="str">
        <f>施術内訳書!T41</f>
        <v>土</v>
      </c>
      <c r="Q41"/>
      <c r="S41"/>
    </row>
    <row r="42" spans="1:19" ht="18" customHeight="1" thickBot="1" x14ac:dyDescent="0.2">
      <c r="A42" s="53">
        <v>31</v>
      </c>
      <c r="B42" s="81" t="str">
        <f>施術内訳書!B42</f>
        <v/>
      </c>
      <c r="C42" s="105"/>
      <c r="D42" s="74"/>
      <c r="E42" s="74"/>
      <c r="F42" s="105"/>
      <c r="G42" s="74"/>
      <c r="H42" s="97"/>
      <c r="I42" s="98">
        <f t="shared" si="1"/>
        <v>0</v>
      </c>
      <c r="N42" s="54" t="str">
        <f>施術内訳書!T42</f>
        <v/>
      </c>
      <c r="Q42"/>
      <c r="S42"/>
    </row>
    <row r="43" spans="1:19" ht="18" customHeight="1" x14ac:dyDescent="0.15">
      <c r="B43" s="84" t="s">
        <v>44</v>
      </c>
      <c r="C43" s="85"/>
      <c r="D43" s="85"/>
      <c r="E43" s="85"/>
      <c r="F43" s="85"/>
      <c r="G43" s="85"/>
      <c r="H43" s="85"/>
      <c r="I43" s="86"/>
      <c r="N43" s="62"/>
      <c r="Q43"/>
      <c r="S43"/>
    </row>
    <row r="44" spans="1:19" ht="18" customHeight="1" thickBot="1" x14ac:dyDescent="0.2">
      <c r="B44" s="87"/>
      <c r="C44" s="88"/>
      <c r="D44" s="88"/>
      <c r="E44" s="88"/>
      <c r="F44" s="88"/>
      <c r="G44" s="88"/>
      <c r="H44" s="88"/>
      <c r="I44" s="89"/>
      <c r="K44" s="62"/>
      <c r="N44" s="62"/>
      <c r="Q44"/>
      <c r="S44"/>
    </row>
    <row r="45" spans="1:19" ht="18" customHeight="1" x14ac:dyDescent="0.15">
      <c r="B45" s="85"/>
      <c r="C45" s="85"/>
      <c r="D45" s="85"/>
      <c r="E45" s="85"/>
      <c r="F45" s="85"/>
      <c r="G45" s="62"/>
      <c r="H45" s="85"/>
      <c r="I45" s="85"/>
      <c r="J45" s="62"/>
      <c r="Q45"/>
      <c r="S45"/>
    </row>
    <row r="46" spans="1:19" ht="18" customHeight="1" x14ac:dyDescent="0.15">
      <c r="B46" s="62"/>
      <c r="C46" s="62"/>
      <c r="D46" s="62"/>
      <c r="E46" s="62"/>
      <c r="F46" s="62"/>
      <c r="G46" s="62"/>
      <c r="H46" s="62"/>
      <c r="I46" s="62"/>
      <c r="Q46"/>
      <c r="S46"/>
    </row>
    <row r="47" spans="1:19" x14ac:dyDescent="0.15">
      <c r="B47" s="62"/>
      <c r="C47" s="62"/>
      <c r="D47" s="64"/>
      <c r="E47" s="62"/>
      <c r="F47" s="62"/>
      <c r="G47" s="62"/>
      <c r="H47" s="62"/>
      <c r="I47" s="62"/>
      <c r="Q47"/>
      <c r="S47"/>
    </row>
    <row r="48" spans="1:19" x14ac:dyDescent="0.15">
      <c r="Q48"/>
      <c r="S48"/>
    </row>
    <row r="49" spans="17:19" x14ac:dyDescent="0.15">
      <c r="Q49"/>
      <c r="S49"/>
    </row>
    <row r="50" spans="17:19" x14ac:dyDescent="0.15">
      <c r="Q50"/>
      <c r="S50"/>
    </row>
    <row r="51" spans="17:19" x14ac:dyDescent="0.15">
      <c r="Q51"/>
      <c r="S51"/>
    </row>
    <row r="52" spans="17:19" x14ac:dyDescent="0.15">
      <c r="Q52"/>
      <c r="S52"/>
    </row>
    <row r="53" spans="17:19" x14ac:dyDescent="0.15">
      <c r="Q53"/>
      <c r="S53"/>
    </row>
    <row r="54" spans="17:19" x14ac:dyDescent="0.15">
      <c r="Q54"/>
      <c r="S54"/>
    </row>
    <row r="55" spans="17:19" x14ac:dyDescent="0.15">
      <c r="Q55"/>
      <c r="S55"/>
    </row>
    <row r="56" spans="17:19" x14ac:dyDescent="0.15">
      <c r="Q56"/>
      <c r="S56"/>
    </row>
    <row r="57" spans="17:19" x14ac:dyDescent="0.15">
      <c r="Q57"/>
      <c r="S57"/>
    </row>
    <row r="58" spans="17:19" x14ac:dyDescent="0.15">
      <c r="Q58"/>
      <c r="S58"/>
    </row>
    <row r="59" spans="17:19" x14ac:dyDescent="0.15">
      <c r="Q59"/>
      <c r="S59"/>
    </row>
    <row r="60" spans="17:19" x14ac:dyDescent="0.15">
      <c r="Q60"/>
      <c r="S60"/>
    </row>
    <row r="61" spans="17:19" x14ac:dyDescent="0.15">
      <c r="Q61"/>
      <c r="S61"/>
    </row>
    <row r="62" spans="17:19" x14ac:dyDescent="0.15">
      <c r="Q62"/>
      <c r="S62"/>
    </row>
    <row r="63" spans="17:19" x14ac:dyDescent="0.15">
      <c r="Q63"/>
      <c r="R63" s="54" t="s">
        <v>33</v>
      </c>
      <c r="S63"/>
    </row>
    <row r="64" spans="17:19" x14ac:dyDescent="0.15">
      <c r="Q64"/>
      <c r="S64"/>
    </row>
    <row r="65" spans="17:19" x14ac:dyDescent="0.15">
      <c r="Q65"/>
      <c r="R65" s="54" t="s">
        <v>19</v>
      </c>
      <c r="S65"/>
    </row>
    <row r="66" spans="17:19" x14ac:dyDescent="0.15">
      <c r="Q66"/>
      <c r="S66"/>
    </row>
    <row r="67" spans="17:19" x14ac:dyDescent="0.15">
      <c r="Q67"/>
      <c r="R67" s="54" t="s">
        <v>35</v>
      </c>
      <c r="S67"/>
    </row>
    <row r="68" spans="17:19" x14ac:dyDescent="0.15">
      <c r="Q68"/>
      <c r="S68"/>
    </row>
    <row r="69" spans="17:19" x14ac:dyDescent="0.15">
      <c r="Q69"/>
      <c r="S69"/>
    </row>
    <row r="70" spans="17:19" x14ac:dyDescent="0.15">
      <c r="Q70"/>
      <c r="R70" s="54" t="s">
        <v>6</v>
      </c>
      <c r="S70"/>
    </row>
    <row r="71" spans="17:19" x14ac:dyDescent="0.15">
      <c r="Q71"/>
      <c r="S71"/>
    </row>
    <row r="72" spans="17:19" x14ac:dyDescent="0.15">
      <c r="Q72"/>
      <c r="S72"/>
    </row>
    <row r="73" spans="17:19" x14ac:dyDescent="0.15">
      <c r="Q73"/>
      <c r="S73"/>
    </row>
    <row r="74" spans="17:19" x14ac:dyDescent="0.15">
      <c r="Q74"/>
      <c r="S74"/>
    </row>
    <row r="75" spans="17:19" x14ac:dyDescent="0.15">
      <c r="Q75"/>
      <c r="S75"/>
    </row>
    <row r="76" spans="17:19" x14ac:dyDescent="0.15">
      <c r="Q76"/>
      <c r="S76"/>
    </row>
    <row r="77" spans="17:19" x14ac:dyDescent="0.15">
      <c r="Q77"/>
      <c r="S77"/>
    </row>
    <row r="78" spans="17:19" x14ac:dyDescent="0.15">
      <c r="Q78"/>
      <c r="S78"/>
    </row>
    <row r="79" spans="17:19" x14ac:dyDescent="0.15">
      <c r="Q79"/>
      <c r="S79"/>
    </row>
    <row r="80" spans="17:19" x14ac:dyDescent="0.15">
      <c r="Q80"/>
      <c r="S80"/>
    </row>
    <row r="81" spans="17:19" x14ac:dyDescent="0.15">
      <c r="Q81"/>
      <c r="S81"/>
    </row>
    <row r="82" spans="17:19" x14ac:dyDescent="0.15">
      <c r="Q82"/>
      <c r="S82"/>
    </row>
    <row r="83" spans="17:19" x14ac:dyDescent="0.15">
      <c r="Q83"/>
      <c r="S83"/>
    </row>
    <row r="84" spans="17:19" x14ac:dyDescent="0.15">
      <c r="Q84"/>
      <c r="S84"/>
    </row>
    <row r="85" spans="17:19" x14ac:dyDescent="0.15">
      <c r="Q85"/>
      <c r="S85"/>
    </row>
    <row r="86" spans="17:19" x14ac:dyDescent="0.15">
      <c r="Q86"/>
      <c r="S86"/>
    </row>
    <row r="87" spans="17:19" x14ac:dyDescent="0.15">
      <c r="Q87"/>
      <c r="S87"/>
    </row>
    <row r="88" spans="17:19" x14ac:dyDescent="0.15">
      <c r="Q88"/>
      <c r="S88"/>
    </row>
    <row r="89" spans="17:19" x14ac:dyDescent="0.15">
      <c r="Q89"/>
      <c r="S89"/>
    </row>
    <row r="90" spans="17:19" x14ac:dyDescent="0.15">
      <c r="Q90"/>
      <c r="S90"/>
    </row>
    <row r="91" spans="17:19" x14ac:dyDescent="0.15">
      <c r="Q91"/>
      <c r="S91"/>
    </row>
    <row r="92" spans="17:19" x14ac:dyDescent="0.15">
      <c r="Q92"/>
      <c r="S92"/>
    </row>
    <row r="93" spans="17:19" x14ac:dyDescent="0.15">
      <c r="Q93"/>
      <c r="S93"/>
    </row>
  </sheetData>
  <autoFilter ref="A11:H43" xr:uid="{00000000-0009-0000-0000-000003000000}">
    <filterColumn colId="2" showButton="0"/>
  </autoFilter>
  <mergeCells count="5">
    <mergeCell ref="B1:H1"/>
    <mergeCell ref="C4:D4"/>
    <mergeCell ref="C6:E6"/>
    <mergeCell ref="C10:E10"/>
    <mergeCell ref="F10:H10"/>
  </mergeCells>
  <phoneticPr fontId="1"/>
  <printOptions horizontalCentered="1"/>
  <pageMargins left="0.47244094488188981" right="0.47244094488188981" top="0.74803149606299213" bottom="0.74803149606299213" header="0.31496062992125984" footer="0.31496062992125984"/>
  <pageSetup paperSize="9" orientation="portrait" horizontalDpi="4294967293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FA610-318C-40F4-B0FB-C64DFD9CD61B}">
  <sheetPr codeName="Sheet55"/>
  <dimension ref="A1:AA63"/>
  <sheetViews>
    <sheetView showGridLines="0" topLeftCell="A4" zoomScaleNormal="100" workbookViewId="0">
      <selection activeCell="C6" sqref="C6"/>
    </sheetView>
  </sheetViews>
  <sheetFormatPr defaultColWidth="4" defaultRowHeight="14.25" x14ac:dyDescent="0.15"/>
  <cols>
    <col min="1" max="1" width="4.5" style="150" customWidth="1"/>
    <col min="2" max="2" width="9.125" style="150" customWidth="1"/>
    <col min="3" max="3" width="6.5" style="150" customWidth="1"/>
    <col min="4" max="16" width="5.375" style="150" customWidth="1"/>
    <col min="17" max="17" width="5.5" style="150" customWidth="1"/>
    <col min="18" max="18" width="5.375" style="150" customWidth="1"/>
    <col min="19" max="20" width="4" style="150"/>
    <col min="21" max="21" width="13" style="150" customWidth="1"/>
    <col min="22" max="22" width="15.25" style="150" bestFit="1" customWidth="1"/>
    <col min="23" max="23" width="13" style="150" customWidth="1"/>
    <col min="24" max="24" width="10.75" style="150" bestFit="1" customWidth="1"/>
    <col min="25" max="16384" width="4" style="150"/>
  </cols>
  <sheetData>
    <row r="1" spans="1:27" ht="23.25" customHeight="1" x14ac:dyDescent="0.15">
      <c r="G1" s="151" t="s">
        <v>75</v>
      </c>
      <c r="H1" s="151"/>
      <c r="I1" s="151"/>
      <c r="J1" s="151"/>
      <c r="K1" s="151"/>
      <c r="L1" s="151"/>
      <c r="M1" s="151"/>
      <c r="N1" s="152"/>
      <c r="P1" s="358">
        <f>DATE(スケジュール!A2,スケジュール!A3,1)</f>
        <v>44652</v>
      </c>
      <c r="Q1" s="358"/>
      <c r="R1" s="209"/>
    </row>
    <row r="2" spans="1:27" x14ac:dyDescent="0.15">
      <c r="F2" s="153"/>
      <c r="G2" s="153"/>
      <c r="H2" s="153"/>
      <c r="I2" s="153"/>
      <c r="J2" s="153"/>
      <c r="K2" s="153"/>
      <c r="L2" s="355" t="str">
        <f>IF(B3="末岡　愛美子","(保険治療分）","")</f>
        <v/>
      </c>
      <c r="M2" s="355"/>
      <c r="N2" s="355"/>
    </row>
    <row r="3" spans="1:27" ht="23.25" customHeight="1" x14ac:dyDescent="0.15">
      <c r="A3" s="154"/>
      <c r="B3" s="155"/>
      <c r="C3" s="154"/>
      <c r="D3" s="154"/>
      <c r="E3" s="154"/>
      <c r="F3" s="154" t="s">
        <v>0</v>
      </c>
      <c r="G3" s="154"/>
      <c r="U3" s="230" t="s">
        <v>9</v>
      </c>
      <c r="V3" s="231">
        <f>SUM(V4:V5)</f>
        <v>321435</v>
      </c>
    </row>
    <row r="4" spans="1:27" ht="16.5" customHeight="1" x14ac:dyDescent="0.15">
      <c r="B4" s="150" t="s">
        <v>76</v>
      </c>
      <c r="D4" s="356">
        <v>13899</v>
      </c>
      <c r="E4" s="356"/>
      <c r="F4" s="356"/>
      <c r="G4" s="356"/>
      <c r="H4" s="150" t="s">
        <v>77</v>
      </c>
      <c r="U4" s="229"/>
      <c r="V4" s="228">
        <f>$O$5</f>
        <v>231435</v>
      </c>
    </row>
    <row r="5" spans="1:27" ht="22.5" customHeight="1" x14ac:dyDescent="0.15">
      <c r="M5" s="154" t="s">
        <v>78</v>
      </c>
      <c r="N5" s="154"/>
      <c r="O5" s="307">
        <f>SUM(I35)</f>
        <v>231435</v>
      </c>
      <c r="P5" s="307"/>
      <c r="Q5" s="156" t="s">
        <v>79</v>
      </c>
      <c r="U5" s="229"/>
      <c r="V5" s="228">
        <f>'領収書後期 (正田 (2)'!$O$5</f>
        <v>90000</v>
      </c>
    </row>
    <row r="6" spans="1:27" ht="18.75" x14ac:dyDescent="0.15">
      <c r="J6" s="150" t="str">
        <f>IF(COUNTIF(G1,"*領収書*"),U10&amp;V10&amp;W10&amp;X10&amp;Y10&amp;Z10&amp;U11,"")</f>
        <v>令和4年4月30日　　上記、正に領収いたしました。</v>
      </c>
      <c r="O6" s="157"/>
      <c r="P6" s="157"/>
      <c r="Q6" s="158"/>
      <c r="U6" s="150" t="s">
        <v>80</v>
      </c>
    </row>
    <row r="7" spans="1:27" ht="11.25" customHeight="1" x14ac:dyDescent="0.15"/>
    <row r="8" spans="1:27" ht="23.25" customHeight="1" x14ac:dyDescent="0.15">
      <c r="A8" s="159"/>
      <c r="B8" s="160"/>
      <c r="C8" s="160"/>
      <c r="D8" s="160"/>
      <c r="E8" s="160"/>
      <c r="F8" s="160"/>
      <c r="G8" s="357" t="s">
        <v>81</v>
      </c>
      <c r="H8" s="357"/>
      <c r="I8" s="357"/>
      <c r="J8" s="357"/>
      <c r="K8" s="357"/>
      <c r="L8" s="357"/>
      <c r="M8" s="160"/>
      <c r="N8" s="160"/>
      <c r="O8" s="160"/>
      <c r="P8" s="160"/>
      <c r="Q8" s="160"/>
      <c r="R8" s="161"/>
      <c r="U8" s="162" t="s">
        <v>82</v>
      </c>
      <c r="V8" s="162" t="s">
        <v>83</v>
      </c>
      <c r="W8" s="162" t="s">
        <v>84</v>
      </c>
    </row>
    <row r="9" spans="1:27" ht="15.75" customHeight="1" x14ac:dyDescent="0.15">
      <c r="A9" s="359" t="s">
        <v>85</v>
      </c>
      <c r="B9" s="359"/>
      <c r="C9" s="359"/>
      <c r="D9" s="359"/>
      <c r="E9" s="359" t="s">
        <v>86</v>
      </c>
      <c r="F9" s="359"/>
      <c r="G9" s="359"/>
      <c r="H9" s="359"/>
      <c r="I9" s="359"/>
      <c r="J9" s="359" t="s">
        <v>87</v>
      </c>
      <c r="K9" s="359"/>
      <c r="L9" s="359"/>
      <c r="M9" s="163"/>
      <c r="N9" s="360" t="s">
        <v>88</v>
      </c>
      <c r="O9" s="360"/>
      <c r="P9" s="164"/>
      <c r="Q9" s="164"/>
      <c r="R9" s="165"/>
      <c r="U9" s="166">
        <f>P1</f>
        <v>44652</v>
      </c>
      <c r="V9" s="167">
        <f>B3</f>
        <v>0</v>
      </c>
      <c r="W9" s="168">
        <f>I31</f>
        <v>36450</v>
      </c>
      <c r="Y9" s="154"/>
      <c r="Z9" s="154"/>
    </row>
    <row r="10" spans="1:27" ht="15.75" customHeight="1" x14ac:dyDescent="0.15">
      <c r="A10" s="359"/>
      <c r="B10" s="359"/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169"/>
      <c r="R10" s="170"/>
      <c r="U10" s="171" t="s">
        <v>128</v>
      </c>
      <c r="V10" s="158" t="s">
        <v>1</v>
      </c>
      <c r="W10" s="158">
        <f>スケジュール!$A$3</f>
        <v>4</v>
      </c>
      <c r="X10" s="172" t="s">
        <v>89</v>
      </c>
      <c r="Y10" s="150">
        <v>30</v>
      </c>
      <c r="Z10" s="170" t="s">
        <v>51</v>
      </c>
    </row>
    <row r="11" spans="1:27" ht="15.75" customHeight="1" x14ac:dyDescent="0.15">
      <c r="A11" s="353" t="s">
        <v>90</v>
      </c>
      <c r="B11" s="353"/>
      <c r="C11" s="353"/>
      <c r="D11" s="353"/>
      <c r="E11" s="354">
        <f>施術内訳書!$AJ$12</f>
        <v>9</v>
      </c>
      <c r="F11" s="354"/>
      <c r="G11" s="350"/>
      <c r="H11" s="350"/>
      <c r="I11" s="350"/>
      <c r="J11" s="350">
        <f>SUM(O12)*350*E11</f>
        <v>15750</v>
      </c>
      <c r="K11" s="350">
        <f t="shared" ref="K11:L14" si="0">SUM(J11)*270</f>
        <v>4252500</v>
      </c>
      <c r="L11" s="350">
        <f t="shared" si="0"/>
        <v>1148175000</v>
      </c>
      <c r="M11" s="169" t="s">
        <v>91</v>
      </c>
      <c r="R11" s="170"/>
      <c r="U11" s="283" t="s">
        <v>92</v>
      </c>
      <c r="V11" s="293"/>
      <c r="W11" s="154"/>
      <c r="Y11" s="154"/>
      <c r="Z11" s="154"/>
      <c r="AA11" s="169"/>
    </row>
    <row r="12" spans="1:27" ht="15.75" customHeight="1" x14ac:dyDescent="0.15">
      <c r="A12" s="353"/>
      <c r="B12" s="353"/>
      <c r="C12" s="353"/>
      <c r="D12" s="353"/>
      <c r="E12" s="354"/>
      <c r="F12" s="354"/>
      <c r="G12" s="350"/>
      <c r="H12" s="350"/>
      <c r="I12" s="350"/>
      <c r="J12" s="350">
        <f>SUM(I12)*270</f>
        <v>0</v>
      </c>
      <c r="K12" s="350">
        <f t="shared" si="0"/>
        <v>0</v>
      </c>
      <c r="L12" s="350">
        <f t="shared" si="0"/>
        <v>0</v>
      </c>
      <c r="M12" s="169"/>
      <c r="O12" s="348">
        <v>5</v>
      </c>
      <c r="R12" s="170"/>
      <c r="U12" s="158"/>
      <c r="V12" s="158"/>
      <c r="X12" s="173"/>
    </row>
    <row r="13" spans="1:27" ht="15.75" customHeight="1" x14ac:dyDescent="0.15">
      <c r="A13" s="353"/>
      <c r="B13" s="353"/>
      <c r="C13" s="353"/>
      <c r="D13" s="353"/>
      <c r="E13" s="354"/>
      <c r="F13" s="354"/>
      <c r="G13" s="350"/>
      <c r="H13" s="350"/>
      <c r="I13" s="350"/>
      <c r="J13" s="350">
        <f>SUM(I13)*270</f>
        <v>0</v>
      </c>
      <c r="K13" s="350">
        <f t="shared" si="0"/>
        <v>0</v>
      </c>
      <c r="L13" s="350">
        <f t="shared" si="0"/>
        <v>0</v>
      </c>
      <c r="M13" s="169"/>
      <c r="N13" s="154"/>
      <c r="O13" s="349"/>
      <c r="P13" s="154" t="s">
        <v>93</v>
      </c>
      <c r="Q13" s="154"/>
      <c r="R13" s="170"/>
      <c r="U13" s="158"/>
      <c r="V13" s="158"/>
    </row>
    <row r="14" spans="1:27" ht="15.75" hidden="1" customHeight="1" x14ac:dyDescent="0.15">
      <c r="A14" s="353"/>
      <c r="B14" s="353"/>
      <c r="C14" s="353"/>
      <c r="D14" s="353"/>
      <c r="E14" s="354"/>
      <c r="F14" s="354"/>
      <c r="G14" s="350"/>
      <c r="H14" s="350"/>
      <c r="I14" s="350"/>
      <c r="J14" s="350">
        <f>SUM(I14)*270</f>
        <v>0</v>
      </c>
      <c r="K14" s="350">
        <f t="shared" si="0"/>
        <v>0</v>
      </c>
      <c r="L14" s="350">
        <f t="shared" si="0"/>
        <v>0</v>
      </c>
      <c r="M14" s="169"/>
      <c r="R14" s="170"/>
      <c r="U14" s="158"/>
    </row>
    <row r="15" spans="1:27" ht="15.75" customHeight="1" x14ac:dyDescent="0.15">
      <c r="A15" s="280" t="str">
        <f>IF(C15=0,"","マッサージ施術自費")</f>
        <v>マッサージ施術自費</v>
      </c>
      <c r="B15" s="281"/>
      <c r="C15" s="215">
        <f>施術内訳書!$AG$10</f>
        <v>15</v>
      </c>
      <c r="D15" s="212" t="str">
        <f>IF(C15=0,"","分")</f>
        <v>分</v>
      </c>
      <c r="E15" s="351">
        <f>施術内訳書!AH10</f>
        <v>9</v>
      </c>
      <c r="F15" s="352"/>
      <c r="G15" s="350"/>
      <c r="H15" s="350"/>
      <c r="I15" s="350"/>
      <c r="J15" s="340">
        <f>100*C15*E15</f>
        <v>13500</v>
      </c>
      <c r="K15" s="341"/>
      <c r="L15" s="342"/>
      <c r="M15" s="169"/>
      <c r="R15" s="170"/>
      <c r="U15" s="150" t="s">
        <v>94</v>
      </c>
    </row>
    <row r="16" spans="1:27" ht="15.75" customHeight="1" x14ac:dyDescent="0.15">
      <c r="A16" s="280" t="str">
        <f t="shared" ref="A16:A19" si="1">IF(C16=0,"","マッサージ施術自費")</f>
        <v>マッサージ施術自費</v>
      </c>
      <c r="B16" s="281"/>
      <c r="C16" s="215">
        <f>施術内訳書!$AG$11</f>
        <v>45</v>
      </c>
      <c r="D16" s="212" t="str">
        <f t="shared" ref="D16:D25" si="2">IF(C16=0,"","分")</f>
        <v>分</v>
      </c>
      <c r="E16" s="338">
        <f>施術内訳書!AH11</f>
        <v>4</v>
      </c>
      <c r="F16" s="339"/>
      <c r="G16" s="350"/>
      <c r="H16" s="350"/>
      <c r="I16" s="350"/>
      <c r="J16" s="340">
        <f t="shared" ref="J16:J25" si="3">100*C16*E16</f>
        <v>18000</v>
      </c>
      <c r="K16" s="341"/>
      <c r="L16" s="342"/>
      <c r="M16" s="169"/>
      <c r="R16" s="170"/>
      <c r="U16" s="174" t="s">
        <v>95</v>
      </c>
      <c r="V16" s="175" t="s">
        <v>96</v>
      </c>
      <c r="W16" s="176" t="s">
        <v>97</v>
      </c>
    </row>
    <row r="17" spans="1:23" ht="15.75" customHeight="1" x14ac:dyDescent="0.15">
      <c r="A17" s="280" t="str">
        <f t="shared" si="1"/>
        <v>マッサージ施術自費</v>
      </c>
      <c r="B17" s="281"/>
      <c r="C17" s="215">
        <f>施術内訳書!$AG$12</f>
        <v>60</v>
      </c>
      <c r="D17" s="212" t="str">
        <f t="shared" si="2"/>
        <v>分</v>
      </c>
      <c r="E17" s="338">
        <f>施術内訳書!AH12</f>
        <v>18</v>
      </c>
      <c r="F17" s="339"/>
      <c r="G17" s="350"/>
      <c r="H17" s="350"/>
      <c r="I17" s="350"/>
      <c r="J17" s="340">
        <f t="shared" si="3"/>
        <v>108000</v>
      </c>
      <c r="K17" s="341"/>
      <c r="L17" s="342"/>
      <c r="M17" s="169" t="s">
        <v>98</v>
      </c>
      <c r="R17" s="170"/>
      <c r="U17" s="174" t="s">
        <v>95</v>
      </c>
      <c r="V17" s="175" t="s">
        <v>96</v>
      </c>
      <c r="W17" s="176" t="s">
        <v>97</v>
      </c>
    </row>
    <row r="18" spans="1:23" ht="16.5" customHeight="1" x14ac:dyDescent="0.15">
      <c r="A18" s="280" t="str">
        <f t="shared" si="1"/>
        <v>マッサージ施術自費</v>
      </c>
      <c r="B18" s="281"/>
      <c r="C18" s="215">
        <f>施術内訳書!$AG$13</f>
        <v>90</v>
      </c>
      <c r="D18" s="212" t="str">
        <f t="shared" si="2"/>
        <v>分</v>
      </c>
      <c r="E18" s="338">
        <f>施術内訳書!AH13</f>
        <v>9</v>
      </c>
      <c r="F18" s="339"/>
      <c r="G18" s="350"/>
      <c r="H18" s="350"/>
      <c r="I18" s="350"/>
      <c r="J18" s="340">
        <f t="shared" si="3"/>
        <v>81000</v>
      </c>
      <c r="K18" s="341"/>
      <c r="L18" s="342"/>
      <c r="M18" s="169"/>
      <c r="R18" s="170"/>
    </row>
    <row r="19" spans="1:23" ht="15.75" customHeight="1" x14ac:dyDescent="0.15">
      <c r="A19" s="280" t="str">
        <f t="shared" si="1"/>
        <v/>
      </c>
      <c r="B19" s="281"/>
      <c r="C19" s="215">
        <f>施術内訳書!$AG$14</f>
        <v>0</v>
      </c>
      <c r="D19" s="212" t="str">
        <f t="shared" si="2"/>
        <v/>
      </c>
      <c r="E19" s="351">
        <f>施術内訳書!AH14</f>
        <v>0</v>
      </c>
      <c r="F19" s="352"/>
      <c r="G19" s="350"/>
      <c r="H19" s="350"/>
      <c r="I19" s="350"/>
      <c r="J19" s="340">
        <f t="shared" si="3"/>
        <v>0</v>
      </c>
      <c r="K19" s="341"/>
      <c r="L19" s="342"/>
      <c r="M19" s="169"/>
      <c r="O19" s="151"/>
      <c r="R19" s="170"/>
      <c r="U19" s="177" t="s">
        <v>99</v>
      </c>
      <c r="V19" s="177" t="s">
        <v>100</v>
      </c>
      <c r="W19" s="178" t="s">
        <v>101</v>
      </c>
    </row>
    <row r="20" spans="1:23" ht="16.5" customHeight="1" x14ac:dyDescent="0.15">
      <c r="A20" s="280" t="str">
        <f>IF(C20=0,"","マッサージ施術自費")</f>
        <v/>
      </c>
      <c r="B20" s="281"/>
      <c r="C20" s="215">
        <f>施術内訳書!$AG$15</f>
        <v>0</v>
      </c>
      <c r="D20" s="212" t="str">
        <f t="shared" si="2"/>
        <v/>
      </c>
      <c r="E20" s="338">
        <f>施術内訳書!AH15</f>
        <v>0</v>
      </c>
      <c r="F20" s="339"/>
      <c r="G20" s="350"/>
      <c r="H20" s="350"/>
      <c r="I20" s="350"/>
      <c r="J20" s="340">
        <f t="shared" si="3"/>
        <v>0</v>
      </c>
      <c r="K20" s="341"/>
      <c r="L20" s="342"/>
      <c r="M20" s="169"/>
      <c r="N20" s="348"/>
      <c r="O20" s="348"/>
      <c r="R20" s="170"/>
    </row>
    <row r="21" spans="1:23" ht="15.75" customHeight="1" x14ac:dyDescent="0.15">
      <c r="A21" s="280" t="str">
        <f t="shared" ref="A21:A25" si="4">IF(C21=0,"","マッサージ施術自費")</f>
        <v/>
      </c>
      <c r="B21" s="281"/>
      <c r="C21" s="215">
        <f>施術内訳書!AG16</f>
        <v>0</v>
      </c>
      <c r="D21" s="212" t="str">
        <f t="shared" si="2"/>
        <v/>
      </c>
      <c r="E21" s="338">
        <f>施術内訳書!AH16</f>
        <v>0</v>
      </c>
      <c r="F21" s="339"/>
      <c r="G21" s="350"/>
      <c r="H21" s="350"/>
      <c r="I21" s="350"/>
      <c r="J21" s="340">
        <f t="shared" si="3"/>
        <v>0</v>
      </c>
      <c r="K21" s="341"/>
      <c r="L21" s="342"/>
      <c r="M21" s="169"/>
      <c r="N21" s="349"/>
      <c r="O21" s="349"/>
      <c r="P21" s="154" t="s">
        <v>102</v>
      </c>
      <c r="Q21" s="154"/>
      <c r="R21" s="170"/>
      <c r="U21" s="150" t="s">
        <v>103</v>
      </c>
    </row>
    <row r="22" spans="1:23" ht="15.75" customHeight="1" x14ac:dyDescent="0.15">
      <c r="A22" s="280" t="str">
        <f t="shared" si="4"/>
        <v/>
      </c>
      <c r="B22" s="281"/>
      <c r="C22" s="215">
        <f>施術内訳書!AG17</f>
        <v>0</v>
      </c>
      <c r="D22" s="212" t="str">
        <f t="shared" si="2"/>
        <v/>
      </c>
      <c r="E22" s="343">
        <f>施術内訳書!AH17</f>
        <v>0</v>
      </c>
      <c r="F22" s="344"/>
      <c r="G22" s="350"/>
      <c r="H22" s="350"/>
      <c r="I22" s="350"/>
      <c r="J22" s="340">
        <f t="shared" si="3"/>
        <v>0</v>
      </c>
      <c r="K22" s="341"/>
      <c r="L22" s="342"/>
      <c r="M22" s="169"/>
      <c r="R22" s="170"/>
      <c r="U22" s="159" t="s">
        <v>104</v>
      </c>
      <c r="V22" s="160"/>
      <c r="W22" s="161"/>
    </row>
    <row r="23" spans="1:23" ht="15.75" customHeight="1" x14ac:dyDescent="0.15">
      <c r="A23" s="280" t="str">
        <f t="shared" si="4"/>
        <v/>
      </c>
      <c r="B23" s="281"/>
      <c r="C23" s="215">
        <f>施術内訳書!AG18</f>
        <v>0</v>
      </c>
      <c r="D23" s="212" t="str">
        <f t="shared" si="2"/>
        <v/>
      </c>
      <c r="E23" s="338">
        <f>施術内訳書!AH18</f>
        <v>0</v>
      </c>
      <c r="F23" s="339"/>
      <c r="G23" s="350"/>
      <c r="H23" s="350"/>
      <c r="I23" s="350"/>
      <c r="J23" s="340">
        <f t="shared" si="3"/>
        <v>0</v>
      </c>
      <c r="K23" s="341"/>
      <c r="L23" s="342"/>
      <c r="M23" s="169"/>
      <c r="R23" s="170"/>
      <c r="U23" s="179" t="s">
        <v>105</v>
      </c>
      <c r="V23" s="154"/>
      <c r="W23" s="180"/>
    </row>
    <row r="24" spans="1:23" ht="15.75" customHeight="1" x14ac:dyDescent="0.15">
      <c r="A24" s="280" t="str">
        <f t="shared" si="4"/>
        <v/>
      </c>
      <c r="B24" s="281"/>
      <c r="C24" s="215">
        <f>施術内訳書!AG19</f>
        <v>0</v>
      </c>
      <c r="D24" s="212" t="str">
        <f t="shared" si="2"/>
        <v/>
      </c>
      <c r="E24" s="343">
        <f>施術内訳書!AH19</f>
        <v>0</v>
      </c>
      <c r="F24" s="344"/>
      <c r="G24" s="350"/>
      <c r="H24" s="350"/>
      <c r="I24" s="350"/>
      <c r="J24" s="340">
        <f t="shared" si="3"/>
        <v>0</v>
      </c>
      <c r="K24" s="341"/>
      <c r="L24" s="342"/>
      <c r="M24" s="169"/>
      <c r="R24" s="170"/>
    </row>
    <row r="25" spans="1:23" ht="15.75" customHeight="1" x14ac:dyDescent="0.15">
      <c r="A25" s="280" t="str">
        <f t="shared" si="4"/>
        <v/>
      </c>
      <c r="B25" s="281"/>
      <c r="C25" s="215">
        <f>施術内訳書!AG20</f>
        <v>0</v>
      </c>
      <c r="D25" s="212" t="str">
        <f t="shared" si="2"/>
        <v/>
      </c>
      <c r="E25" s="345">
        <f>施術内訳書!AH20</f>
        <v>0</v>
      </c>
      <c r="F25" s="346"/>
      <c r="G25" s="309"/>
      <c r="H25" s="310"/>
      <c r="I25" s="347"/>
      <c r="J25" s="340">
        <f t="shared" si="3"/>
        <v>0</v>
      </c>
      <c r="K25" s="341"/>
      <c r="L25" s="342"/>
      <c r="M25" s="169" t="s">
        <v>106</v>
      </c>
      <c r="R25" s="170"/>
      <c r="V25" s="154"/>
    </row>
    <row r="26" spans="1:23" ht="15.75" customHeight="1" x14ac:dyDescent="0.15">
      <c r="A26" s="336"/>
      <c r="B26" s="337"/>
      <c r="C26" s="214"/>
      <c r="D26" s="213"/>
      <c r="E26" s="327"/>
      <c r="F26" s="328"/>
      <c r="G26" s="311"/>
      <c r="H26" s="312"/>
      <c r="I26" s="329"/>
      <c r="J26" s="330">
        <f>4500*E26</f>
        <v>0</v>
      </c>
      <c r="K26" s="331"/>
      <c r="L26" s="332"/>
      <c r="M26" s="181" t="s">
        <v>107</v>
      </c>
      <c r="N26" s="38" t="s">
        <v>108</v>
      </c>
      <c r="O26" s="38"/>
      <c r="P26" s="38"/>
      <c r="Q26" s="182" t="s">
        <v>109</v>
      </c>
      <c r="R26" s="183"/>
      <c r="V26" s="154"/>
    </row>
    <row r="27" spans="1:23" ht="15.75" customHeight="1" x14ac:dyDescent="0.15">
      <c r="A27" s="206"/>
      <c r="B27" s="207"/>
      <c r="C27" s="207"/>
      <c r="D27" s="208"/>
      <c r="E27" s="327"/>
      <c r="F27" s="328"/>
      <c r="G27" s="311"/>
      <c r="H27" s="312"/>
      <c r="I27" s="329"/>
      <c r="J27" s="333"/>
      <c r="K27" s="334"/>
      <c r="L27" s="335"/>
      <c r="M27" s="181" t="s">
        <v>107</v>
      </c>
      <c r="N27" s="38" t="s">
        <v>108</v>
      </c>
      <c r="O27" s="38"/>
      <c r="P27" s="38"/>
      <c r="Q27" s="182" t="s">
        <v>109</v>
      </c>
      <c r="R27" s="183"/>
    </row>
    <row r="28" spans="1:23" ht="15.75" customHeight="1" x14ac:dyDescent="0.15">
      <c r="A28" s="300" t="s">
        <v>110</v>
      </c>
      <c r="B28" s="301"/>
      <c r="C28" s="301"/>
      <c r="D28" s="302"/>
      <c r="E28" s="184" t="s">
        <v>107</v>
      </c>
      <c r="F28" s="185">
        <f>施術内訳書!$AJ$12</f>
        <v>9</v>
      </c>
      <c r="G28" s="303">
        <f>SUM(F28)*2300</f>
        <v>20700</v>
      </c>
      <c r="H28" s="304"/>
      <c r="I28" s="305"/>
      <c r="J28" s="306">
        <f>G28</f>
        <v>20700</v>
      </c>
      <c r="K28" s="307"/>
      <c r="L28" s="308"/>
      <c r="M28" s="181"/>
      <c r="N28" s="38"/>
      <c r="O28" s="186"/>
      <c r="P28" s="38"/>
      <c r="Q28" s="187"/>
      <c r="R28" s="183"/>
    </row>
    <row r="29" spans="1:23" ht="15.75" customHeight="1" x14ac:dyDescent="0.15">
      <c r="A29" s="309" t="s">
        <v>111</v>
      </c>
      <c r="B29" s="310"/>
      <c r="C29" s="310"/>
      <c r="D29" s="310"/>
      <c r="E29" s="310"/>
      <c r="F29" s="310"/>
      <c r="G29" s="310"/>
      <c r="H29" s="310"/>
      <c r="I29" s="313">
        <f>SUM(J15,J16,J17,J18,J19,J20,J21,J22,J23,J24,J25,J26,J27)</f>
        <v>220500</v>
      </c>
      <c r="J29" s="314"/>
      <c r="K29" s="314"/>
      <c r="L29" s="315"/>
      <c r="M29" s="181"/>
      <c r="N29" s="38"/>
      <c r="O29" s="186"/>
      <c r="P29" s="38"/>
      <c r="Q29" s="187"/>
      <c r="R29" s="183"/>
    </row>
    <row r="30" spans="1:23" ht="15.75" customHeight="1" x14ac:dyDescent="0.15">
      <c r="A30" s="311"/>
      <c r="B30" s="312"/>
      <c r="C30" s="312"/>
      <c r="D30" s="312"/>
      <c r="E30" s="312"/>
      <c r="F30" s="312"/>
      <c r="G30" s="312"/>
      <c r="H30" s="312"/>
      <c r="I30" s="306"/>
      <c r="J30" s="307"/>
      <c r="K30" s="307"/>
      <c r="L30" s="308"/>
      <c r="M30" s="181"/>
      <c r="N30" s="326"/>
      <c r="O30" s="326"/>
      <c r="P30" s="326"/>
      <c r="Q30" s="187"/>
      <c r="R30" s="183"/>
    </row>
    <row r="31" spans="1:23" ht="15.75" customHeight="1" x14ac:dyDescent="0.15">
      <c r="A31" s="282" t="s">
        <v>112</v>
      </c>
      <c r="B31" s="292"/>
      <c r="C31" s="292"/>
      <c r="D31" s="292"/>
      <c r="E31" s="292"/>
      <c r="F31" s="292"/>
      <c r="G31" s="292"/>
      <c r="H31" s="284"/>
      <c r="I31" s="316">
        <f>SUM(J11,J28)</f>
        <v>36450</v>
      </c>
      <c r="J31" s="316"/>
      <c r="K31" s="316"/>
      <c r="L31" s="316"/>
      <c r="M31" s="181"/>
      <c r="N31" s="38"/>
      <c r="O31" s="38"/>
      <c r="P31" s="38"/>
      <c r="Q31" s="187"/>
      <c r="R31" s="183"/>
    </row>
    <row r="32" spans="1:23" ht="15.75" customHeight="1" thickBot="1" x14ac:dyDescent="0.2">
      <c r="A32" s="283"/>
      <c r="B32" s="293"/>
      <c r="C32" s="293"/>
      <c r="D32" s="293"/>
      <c r="E32" s="293"/>
      <c r="F32" s="293"/>
      <c r="G32" s="293"/>
      <c r="H32" s="285"/>
      <c r="I32" s="317"/>
      <c r="J32" s="317"/>
      <c r="K32" s="317"/>
      <c r="L32" s="317"/>
      <c r="M32" s="181"/>
      <c r="N32" s="38"/>
      <c r="Q32" s="38"/>
      <c r="R32" s="170"/>
    </row>
    <row r="33" spans="1:19" ht="15.75" customHeight="1" thickTop="1" x14ac:dyDescent="0.15">
      <c r="A33" s="282" t="s">
        <v>113</v>
      </c>
      <c r="B33" s="292"/>
      <c r="C33" s="292"/>
      <c r="D33" s="292"/>
      <c r="E33" s="292"/>
      <c r="F33" s="292"/>
      <c r="G33" s="318">
        <v>3</v>
      </c>
      <c r="H33" s="173"/>
      <c r="I33" s="320">
        <f>SUM(I31)*G33*0.1</f>
        <v>10935</v>
      </c>
      <c r="J33" s="321"/>
      <c r="K33" s="321"/>
      <c r="L33" s="322"/>
      <c r="N33" s="148"/>
      <c r="R33" s="170"/>
    </row>
    <row r="34" spans="1:19" ht="15.75" customHeight="1" thickBot="1" x14ac:dyDescent="0.2">
      <c r="A34" s="283"/>
      <c r="B34" s="293"/>
      <c r="C34" s="293"/>
      <c r="D34" s="293"/>
      <c r="E34" s="293"/>
      <c r="F34" s="293"/>
      <c r="G34" s="319"/>
      <c r="H34" s="154" t="s">
        <v>114</v>
      </c>
      <c r="I34" s="323"/>
      <c r="J34" s="324"/>
      <c r="K34" s="324"/>
      <c r="L34" s="325"/>
      <c r="N34" s="148"/>
      <c r="R34" s="170"/>
    </row>
    <row r="35" spans="1:19" ht="15" thickTop="1" x14ac:dyDescent="0.15">
      <c r="A35" s="292" t="s">
        <v>115</v>
      </c>
      <c r="B35" s="292"/>
      <c r="C35" s="292"/>
      <c r="D35" s="292"/>
      <c r="E35" s="292"/>
      <c r="F35" s="292"/>
      <c r="G35" s="292"/>
      <c r="H35" s="284"/>
      <c r="I35" s="294">
        <f>SUM(I33,I29)</f>
        <v>231435</v>
      </c>
      <c r="J35" s="295"/>
      <c r="K35" s="295"/>
      <c r="L35" s="296"/>
      <c r="M35" s="169"/>
      <c r="R35" s="170"/>
      <c r="S35" s="169"/>
    </row>
    <row r="36" spans="1:19" x14ac:dyDescent="0.15">
      <c r="A36" s="293"/>
      <c r="B36" s="293"/>
      <c r="C36" s="293"/>
      <c r="D36" s="293"/>
      <c r="E36" s="293"/>
      <c r="F36" s="293"/>
      <c r="G36" s="293"/>
      <c r="H36" s="285"/>
      <c r="I36" s="297"/>
      <c r="J36" s="298"/>
      <c r="K36" s="298"/>
      <c r="L36" s="299"/>
      <c r="M36" s="179"/>
      <c r="S36" s="169"/>
    </row>
    <row r="37" spans="1:19" ht="15.75" customHeight="1" x14ac:dyDescent="0.15">
      <c r="A37" s="188"/>
      <c r="B37" s="173"/>
      <c r="C37" s="173"/>
      <c r="D37" s="173"/>
      <c r="E37" s="173"/>
      <c r="F37" s="286" t="s">
        <v>116</v>
      </c>
      <c r="G37" s="286"/>
      <c r="H37" s="286"/>
      <c r="I37" s="286"/>
      <c r="J37" s="286"/>
      <c r="K37" s="173"/>
      <c r="L37" s="173"/>
      <c r="M37" s="173"/>
      <c r="N37" s="173" t="s">
        <v>117</v>
      </c>
      <c r="O37" s="173"/>
      <c r="P37" s="173"/>
      <c r="Q37" s="173"/>
      <c r="R37" s="189"/>
    </row>
    <row r="38" spans="1:19" ht="15.75" customHeight="1" x14ac:dyDescent="0.15">
      <c r="A38" s="179"/>
      <c r="B38" s="154"/>
      <c r="C38" s="154"/>
      <c r="D38" s="154"/>
      <c r="E38" s="154"/>
      <c r="F38" s="287"/>
      <c r="G38" s="287"/>
      <c r="H38" s="287"/>
      <c r="I38" s="287"/>
      <c r="J38" s="287"/>
      <c r="K38" s="154"/>
      <c r="L38" s="154"/>
      <c r="M38" s="154"/>
      <c r="N38" s="190" t="s">
        <v>118</v>
      </c>
      <c r="O38" s="154"/>
      <c r="P38" s="154"/>
      <c r="Q38" s="154"/>
      <c r="R38" s="180"/>
    </row>
    <row r="39" spans="1:19" ht="17.25" customHeight="1" x14ac:dyDescent="0.15">
      <c r="A39" s="288" t="str">
        <f>W10&amp;"月"</f>
        <v>4月</v>
      </c>
      <c r="B39" s="289"/>
      <c r="C39" s="191" t="str">
        <f>IF(施術内訳書!C12="",1,"①")</f>
        <v>①</v>
      </c>
      <c r="D39" s="192" t="str">
        <f>IF(施術内訳書!C13="",2,"②")</f>
        <v>②</v>
      </c>
      <c r="E39" s="193">
        <f>IF(施術内訳書!C14="",3,"③")</f>
        <v>3</v>
      </c>
      <c r="F39" s="192" t="str">
        <f>IF(施術内訳書!C15="",4,"④")</f>
        <v>④</v>
      </c>
      <c r="G39" s="192" t="str">
        <f>IF(施術内訳書!C16="",5,"⑤")</f>
        <v>⑤</v>
      </c>
      <c r="H39" s="192" t="str">
        <f>IF(施術内訳書!C17="",6,"⑥")</f>
        <v>⑥</v>
      </c>
      <c r="I39" s="192">
        <f>IF(施術内訳書!C18="",7,"⑦")</f>
        <v>7</v>
      </c>
      <c r="J39" s="192" t="str">
        <f>IF(施術内訳書!C19="",8,"⑧")</f>
        <v>⑧</v>
      </c>
      <c r="K39" s="192" t="str">
        <f>IF(施術内訳書!C20="",9,"⑨")</f>
        <v>⑨</v>
      </c>
      <c r="L39" s="192">
        <f>IF(施術内訳書!C21="",10,"⑩")</f>
        <v>10</v>
      </c>
      <c r="M39" s="192" t="str">
        <f>IF(施術内訳書!C22="",11,"⑪")</f>
        <v>⑪</v>
      </c>
      <c r="N39" s="192" t="str">
        <f>IF(施術内訳書!C23="",12,"⑫")</f>
        <v>⑫</v>
      </c>
      <c r="O39" s="192" t="str">
        <f>IF(施術内訳書!C24="",13,"⑬")</f>
        <v>⑬</v>
      </c>
      <c r="P39" s="192">
        <f>IF(施術内訳書!C25="",14,"⑭")</f>
        <v>14</v>
      </c>
      <c r="Q39" s="192" t="str">
        <f>IF(施術内訳書!C26="",15,"⑮")</f>
        <v>⑮</v>
      </c>
      <c r="R39" s="194"/>
    </row>
    <row r="40" spans="1:19" ht="17.25" customHeight="1" x14ac:dyDescent="0.15">
      <c r="A40" s="290"/>
      <c r="B40" s="291"/>
      <c r="C40" s="195" t="str">
        <f>IF(施術内訳書!C27="",16,"⑯")</f>
        <v>⑯</v>
      </c>
      <c r="D40" s="196">
        <f>IF(施術内訳書!C28="",17,"⑰")</f>
        <v>17</v>
      </c>
      <c r="E40" s="196" t="str">
        <f>IF(施術内訳書!C29="",18,"⑱")</f>
        <v>⑱</v>
      </c>
      <c r="F40" s="196" t="str">
        <f>IF(施術内訳書!C30="",19,"⑲")</f>
        <v>⑲</v>
      </c>
      <c r="G40" s="196" t="str">
        <f>IF(施術内訳書!C31="",20,"⑳")</f>
        <v>⑳</v>
      </c>
      <c r="H40" s="196">
        <f>IF(施術内訳書!C32="",21,"㉑")</f>
        <v>21</v>
      </c>
      <c r="I40" s="196" t="str">
        <f>IF(施術内訳書!C33="",22,"㉒")</f>
        <v>㉒</v>
      </c>
      <c r="J40" s="196" t="str">
        <f>IF(施術内訳書!C34="",23,"㉓")</f>
        <v>㉓</v>
      </c>
      <c r="K40" s="196">
        <f>IF(施術内訳書!C35="",24,"㉔")</f>
        <v>24</v>
      </c>
      <c r="L40" s="196" t="str">
        <f>IF(施術内訳書!C36="",25,"㉕")</f>
        <v>㉕</v>
      </c>
      <c r="M40" s="196" t="str">
        <f>IF(施術内訳書!C37="",26,"㉖")</f>
        <v>㉖</v>
      </c>
      <c r="N40" s="196" t="str">
        <f>IF(施術内訳書!C38="",27,"㉗")</f>
        <v>㉗</v>
      </c>
      <c r="O40" s="196">
        <f>IF(施術内訳書!C39="",28,"㉘")</f>
        <v>28</v>
      </c>
      <c r="P40" s="196" t="str">
        <f>IF(施術内訳書!C40="",29,"㉙")</f>
        <v>㉙</v>
      </c>
      <c r="Q40" s="196" t="str">
        <f>IF(施術内訳書!C41="",30,"㉚")</f>
        <v>㉚</v>
      </c>
      <c r="R40" s="197">
        <f>IF(施術内訳書!C42="",31,"㉛")</f>
        <v>31</v>
      </c>
    </row>
    <row r="41" spans="1:19" ht="17.25" customHeight="1" x14ac:dyDescent="0.15">
      <c r="A41" s="282"/>
      <c r="B41" s="284"/>
      <c r="C41" s="171">
        <v>1</v>
      </c>
      <c r="D41" s="172">
        <v>2</v>
      </c>
      <c r="E41" s="172">
        <v>3</v>
      </c>
      <c r="F41" s="172">
        <v>4</v>
      </c>
      <c r="G41" s="172">
        <v>5</v>
      </c>
      <c r="H41" s="172">
        <v>6</v>
      </c>
      <c r="I41" s="172">
        <v>7</v>
      </c>
      <c r="J41" s="172">
        <v>8</v>
      </c>
      <c r="K41" s="172">
        <v>9</v>
      </c>
      <c r="L41" s="172">
        <v>10</v>
      </c>
      <c r="M41" s="172">
        <v>11</v>
      </c>
      <c r="N41" s="172">
        <v>12</v>
      </c>
      <c r="O41" s="172">
        <v>13</v>
      </c>
      <c r="P41" s="172">
        <v>14</v>
      </c>
      <c r="Q41" s="172">
        <v>15</v>
      </c>
      <c r="R41" s="198"/>
    </row>
    <row r="42" spans="1:19" ht="17.25" customHeight="1" x14ac:dyDescent="0.15">
      <c r="A42" s="283"/>
      <c r="B42" s="285"/>
      <c r="C42" s="199">
        <v>16</v>
      </c>
      <c r="D42" s="200">
        <v>17</v>
      </c>
      <c r="E42" s="200">
        <v>18</v>
      </c>
      <c r="F42" s="200">
        <v>19</v>
      </c>
      <c r="G42" s="200">
        <v>20</v>
      </c>
      <c r="H42" s="200">
        <v>21</v>
      </c>
      <c r="I42" s="200">
        <v>22</v>
      </c>
      <c r="J42" s="200">
        <v>23</v>
      </c>
      <c r="K42" s="200">
        <v>24</v>
      </c>
      <c r="L42" s="200">
        <v>25</v>
      </c>
      <c r="M42" s="200">
        <v>26</v>
      </c>
      <c r="N42" s="200">
        <v>27</v>
      </c>
      <c r="O42" s="200">
        <v>28</v>
      </c>
      <c r="P42" s="200">
        <v>29</v>
      </c>
      <c r="Q42" s="200">
        <v>30</v>
      </c>
      <c r="R42" s="201">
        <v>31</v>
      </c>
    </row>
    <row r="43" spans="1:19" ht="17.25" customHeight="1" x14ac:dyDescent="0.15">
      <c r="A43" s="282"/>
      <c r="B43" s="284"/>
      <c r="C43" s="158">
        <v>1</v>
      </c>
      <c r="D43" s="158">
        <v>2</v>
      </c>
      <c r="E43" s="158">
        <v>3</v>
      </c>
      <c r="F43" s="158">
        <v>4</v>
      </c>
      <c r="G43" s="158">
        <v>5</v>
      </c>
      <c r="H43" s="158">
        <v>6</v>
      </c>
      <c r="I43" s="158">
        <v>7</v>
      </c>
      <c r="J43" s="158">
        <v>8</v>
      </c>
      <c r="K43" s="158">
        <v>9</v>
      </c>
      <c r="L43" s="158">
        <v>10</v>
      </c>
      <c r="M43" s="158">
        <v>11</v>
      </c>
      <c r="N43" s="158">
        <v>12</v>
      </c>
      <c r="O43" s="158">
        <v>13</v>
      </c>
      <c r="P43" s="158">
        <v>14</v>
      </c>
      <c r="Q43" s="158">
        <v>15</v>
      </c>
      <c r="R43" s="185"/>
    </row>
    <row r="44" spans="1:19" ht="17.25" customHeight="1" x14ac:dyDescent="0.15">
      <c r="A44" s="283"/>
      <c r="B44" s="285"/>
      <c r="C44" s="199">
        <v>16</v>
      </c>
      <c r="D44" s="200">
        <v>17</v>
      </c>
      <c r="E44" s="200">
        <v>18</v>
      </c>
      <c r="F44" s="200">
        <v>19</v>
      </c>
      <c r="G44" s="200">
        <v>20</v>
      </c>
      <c r="H44" s="200">
        <v>21</v>
      </c>
      <c r="I44" s="200">
        <v>22</v>
      </c>
      <c r="J44" s="200">
        <v>23</v>
      </c>
      <c r="K44" s="200">
        <v>24</v>
      </c>
      <c r="L44" s="200">
        <v>25</v>
      </c>
      <c r="M44" s="200">
        <v>26</v>
      </c>
      <c r="N44" s="200">
        <v>27</v>
      </c>
      <c r="O44" s="200">
        <v>28</v>
      </c>
      <c r="P44" s="200">
        <v>29</v>
      </c>
      <c r="Q44" s="200">
        <v>30</v>
      </c>
      <c r="R44" s="201">
        <v>31</v>
      </c>
    </row>
    <row r="45" spans="1:19" ht="17.25" customHeight="1" x14ac:dyDescent="0.15">
      <c r="A45" s="282"/>
      <c r="B45" s="284"/>
      <c r="C45" s="158">
        <v>1</v>
      </c>
      <c r="D45" s="158">
        <v>2</v>
      </c>
      <c r="E45" s="158">
        <v>3</v>
      </c>
      <c r="F45" s="158">
        <v>4</v>
      </c>
      <c r="G45" s="158">
        <v>5</v>
      </c>
      <c r="H45" s="158">
        <v>6</v>
      </c>
      <c r="I45" s="158">
        <v>7</v>
      </c>
      <c r="J45" s="158">
        <v>8</v>
      </c>
      <c r="K45" s="158">
        <v>9</v>
      </c>
      <c r="L45" s="158">
        <v>10</v>
      </c>
      <c r="M45" s="158">
        <v>11</v>
      </c>
      <c r="N45" s="158">
        <v>12</v>
      </c>
      <c r="O45" s="158">
        <v>13</v>
      </c>
      <c r="P45" s="158">
        <v>14</v>
      </c>
      <c r="Q45" s="158">
        <v>15</v>
      </c>
      <c r="R45" s="185"/>
    </row>
    <row r="46" spans="1:19" ht="16.5" customHeight="1" x14ac:dyDescent="0.15">
      <c r="A46" s="283"/>
      <c r="B46" s="285"/>
      <c r="C46" s="199">
        <v>16</v>
      </c>
      <c r="D46" s="200">
        <v>17</v>
      </c>
      <c r="E46" s="200">
        <v>18</v>
      </c>
      <c r="F46" s="200">
        <v>19</v>
      </c>
      <c r="G46" s="200">
        <v>20</v>
      </c>
      <c r="H46" s="200">
        <v>21</v>
      </c>
      <c r="I46" s="200">
        <v>22</v>
      </c>
      <c r="J46" s="200">
        <v>23</v>
      </c>
      <c r="K46" s="200">
        <v>24</v>
      </c>
      <c r="L46" s="200">
        <v>25</v>
      </c>
      <c r="M46" s="200">
        <v>26</v>
      </c>
      <c r="N46" s="200">
        <v>27</v>
      </c>
      <c r="O46" s="200">
        <v>28</v>
      </c>
      <c r="P46" s="200">
        <v>29</v>
      </c>
      <c r="Q46" s="200">
        <v>30</v>
      </c>
      <c r="R46" s="201">
        <v>31</v>
      </c>
    </row>
    <row r="48" spans="1:19" x14ac:dyDescent="0.15">
      <c r="H48" s="150" t="s">
        <v>65</v>
      </c>
    </row>
    <row r="50" spans="9:23" x14ac:dyDescent="0.15">
      <c r="I50" s="150" t="s">
        <v>119</v>
      </c>
      <c r="L50" s="150" t="s">
        <v>120</v>
      </c>
    </row>
    <row r="51" spans="9:23" x14ac:dyDescent="0.15">
      <c r="K51" s="150" t="s">
        <v>121</v>
      </c>
    </row>
    <row r="52" spans="9:23" ht="6.75" customHeight="1" x14ac:dyDescent="0.15"/>
    <row r="53" spans="9:23" x14ac:dyDescent="0.15">
      <c r="I53" s="154" t="s">
        <v>122</v>
      </c>
      <c r="J53" s="154"/>
      <c r="K53" s="154"/>
      <c r="L53" s="154"/>
      <c r="M53" s="154"/>
      <c r="N53" s="154"/>
      <c r="O53" s="154"/>
      <c r="P53" s="154"/>
    </row>
    <row r="54" spans="9:23" ht="27.75" customHeight="1" x14ac:dyDescent="0.15"/>
    <row r="56" spans="9:23" x14ac:dyDescent="0.15">
      <c r="V56" s="202"/>
      <c r="W56" s="202"/>
    </row>
    <row r="60" spans="9:23" x14ac:dyDescent="0.15">
      <c r="W60" s="158"/>
    </row>
    <row r="61" spans="9:23" x14ac:dyDescent="0.15">
      <c r="W61" s="158"/>
    </row>
    <row r="62" spans="9:23" x14ac:dyDescent="0.15">
      <c r="W62" s="158"/>
    </row>
    <row r="63" spans="9:23" x14ac:dyDescent="0.15">
      <c r="W63" s="158"/>
    </row>
  </sheetData>
  <mergeCells count="81">
    <mergeCell ref="A9:D10"/>
    <mergeCell ref="E9:F10"/>
    <mergeCell ref="G9:I10"/>
    <mergeCell ref="J9:L10"/>
    <mergeCell ref="N9:O9"/>
    <mergeCell ref="L2:N2"/>
    <mergeCell ref="D4:G4"/>
    <mergeCell ref="O5:P5"/>
    <mergeCell ref="G8:L8"/>
    <mergeCell ref="P1:Q1"/>
    <mergeCell ref="A11:D14"/>
    <mergeCell ref="E11:F14"/>
    <mergeCell ref="G11:I14"/>
    <mergeCell ref="J11:L14"/>
    <mergeCell ref="U11:V11"/>
    <mergeCell ref="O12:O13"/>
    <mergeCell ref="E15:F15"/>
    <mergeCell ref="G15:I20"/>
    <mergeCell ref="J15:L15"/>
    <mergeCell ref="E16:F16"/>
    <mergeCell ref="J16:L16"/>
    <mergeCell ref="E17:F17"/>
    <mergeCell ref="J17:L17"/>
    <mergeCell ref="E18:F18"/>
    <mergeCell ref="J18:L18"/>
    <mergeCell ref="E19:F19"/>
    <mergeCell ref="J19:L19"/>
    <mergeCell ref="A20:B20"/>
    <mergeCell ref="A21:B21"/>
    <mergeCell ref="A22:B22"/>
    <mergeCell ref="N20:O21"/>
    <mergeCell ref="E21:F21"/>
    <mergeCell ref="G21:I24"/>
    <mergeCell ref="J21:L21"/>
    <mergeCell ref="E20:F20"/>
    <mergeCell ref="J20:L20"/>
    <mergeCell ref="E22:F22"/>
    <mergeCell ref="J22:L22"/>
    <mergeCell ref="A25:B25"/>
    <mergeCell ref="A26:B26"/>
    <mergeCell ref="E23:F23"/>
    <mergeCell ref="J23:L23"/>
    <mergeCell ref="E24:F24"/>
    <mergeCell ref="J24:L24"/>
    <mergeCell ref="A23:B23"/>
    <mergeCell ref="A24:B24"/>
    <mergeCell ref="E25:F25"/>
    <mergeCell ref="G25:I25"/>
    <mergeCell ref="J25:L25"/>
    <mergeCell ref="N30:P30"/>
    <mergeCell ref="E26:F26"/>
    <mergeCell ref="G26:I26"/>
    <mergeCell ref="J26:L26"/>
    <mergeCell ref="E27:F27"/>
    <mergeCell ref="G27:I27"/>
    <mergeCell ref="J27:L27"/>
    <mergeCell ref="A35:H36"/>
    <mergeCell ref="I35:L36"/>
    <mergeCell ref="A28:D28"/>
    <mergeCell ref="G28:I28"/>
    <mergeCell ref="J28:L28"/>
    <mergeCell ref="A29:H30"/>
    <mergeCell ref="I29:L30"/>
    <mergeCell ref="A31:H32"/>
    <mergeCell ref="I31:L32"/>
    <mergeCell ref="A33:F34"/>
    <mergeCell ref="G33:G34"/>
    <mergeCell ref="I33:L34"/>
    <mergeCell ref="A45:A46"/>
    <mergeCell ref="B45:B46"/>
    <mergeCell ref="F37:J38"/>
    <mergeCell ref="A39:B40"/>
    <mergeCell ref="A41:A42"/>
    <mergeCell ref="B41:B42"/>
    <mergeCell ref="A43:A44"/>
    <mergeCell ref="B43:B44"/>
    <mergeCell ref="A15:B15"/>
    <mergeCell ref="A16:B16"/>
    <mergeCell ref="A17:B17"/>
    <mergeCell ref="A18:B18"/>
    <mergeCell ref="A19:B19"/>
  </mergeCells>
  <phoneticPr fontId="1"/>
  <conditionalFormatting sqref="C39:R40">
    <cfRule type="cellIs" dxfId="1" priority="1" operator="between">
      <formula>"①"</formula>
      <formula>"㉛"</formula>
    </cfRule>
  </conditionalFormatting>
  <dataValidations count="1">
    <dataValidation type="list" allowBlank="1" showInputMessage="1" showErrorMessage="1" sqref="G1" xr:uid="{EAED71CB-A0F4-468C-B985-49D4E14A3ACF}">
      <formula1>$U$22:$U$23</formula1>
    </dataValidation>
  </dataValidations>
  <printOptions horizontalCentered="1"/>
  <pageMargins left="0.39370078740157483" right="0.39370078740157483" top="0.78740157480314965" bottom="0.19685039370078741" header="0.31496062992125984" footer="0.31496062992125984"/>
  <pageSetup paperSize="9" scale="55" orientation="portrait" horizontalDpi="4294967293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B7C36-7E06-4F14-B8E1-D5263E2AAEEF}">
  <sheetPr codeName="Sheet56"/>
  <dimension ref="A1:AA63"/>
  <sheetViews>
    <sheetView showGridLines="0" zoomScaleNormal="100" workbookViewId="0">
      <selection activeCell="D5" sqref="D5"/>
    </sheetView>
  </sheetViews>
  <sheetFormatPr defaultColWidth="4" defaultRowHeight="14.25" x14ac:dyDescent="0.15"/>
  <cols>
    <col min="1" max="1" width="4.5" style="150" customWidth="1"/>
    <col min="2" max="2" width="9.125" style="150" customWidth="1"/>
    <col min="3" max="3" width="6.375" style="150" customWidth="1"/>
    <col min="4" max="18" width="5.375" style="150" customWidth="1"/>
    <col min="19" max="20" width="4" style="150"/>
    <col min="21" max="21" width="13" style="150" customWidth="1"/>
    <col min="22" max="22" width="15.25" style="150" bestFit="1" customWidth="1"/>
    <col min="23" max="23" width="13" style="150" customWidth="1"/>
    <col min="24" max="24" width="10.75" style="150" bestFit="1" customWidth="1"/>
    <col min="25" max="16384" width="4" style="150"/>
  </cols>
  <sheetData>
    <row r="1" spans="1:27" ht="23.25" customHeight="1" x14ac:dyDescent="0.15">
      <c r="G1" s="151" t="s">
        <v>75</v>
      </c>
      <c r="H1" s="151"/>
      <c r="I1" s="151"/>
      <c r="J1" s="151"/>
      <c r="K1" s="151"/>
      <c r="L1" s="151"/>
      <c r="M1" s="151"/>
      <c r="N1" s="152"/>
      <c r="P1" s="365">
        <f>'領収書後期 (正田'!$P$1</f>
        <v>44652</v>
      </c>
      <c r="Q1" s="365"/>
      <c r="R1" s="365"/>
    </row>
    <row r="2" spans="1:27" x14ac:dyDescent="0.15">
      <c r="F2" s="153"/>
      <c r="G2" s="153"/>
      <c r="H2" s="153"/>
      <c r="I2" s="153"/>
      <c r="J2" s="153"/>
      <c r="K2" s="153"/>
      <c r="L2" s="355" t="str">
        <f>IF(B3="末岡　愛美子","(保険治療分）","")</f>
        <v/>
      </c>
      <c r="M2" s="355"/>
      <c r="N2" s="355"/>
    </row>
    <row r="3" spans="1:27" ht="23.25" customHeight="1" x14ac:dyDescent="0.15">
      <c r="A3" s="154"/>
      <c r="B3" s="155"/>
      <c r="C3" s="154"/>
      <c r="D3" s="154"/>
      <c r="E3" s="154"/>
      <c r="F3" s="154" t="s">
        <v>0</v>
      </c>
      <c r="G3" s="154"/>
    </row>
    <row r="4" spans="1:27" ht="16.5" customHeight="1" x14ac:dyDescent="0.15">
      <c r="B4" s="150" t="s">
        <v>76</v>
      </c>
      <c r="D4" s="356" t="s">
        <v>55</v>
      </c>
      <c r="E4" s="356"/>
      <c r="F4" s="356"/>
      <c r="G4" s="356"/>
      <c r="H4" s="150" t="s">
        <v>77</v>
      </c>
    </row>
    <row r="5" spans="1:27" ht="22.5" customHeight="1" x14ac:dyDescent="0.15">
      <c r="M5" s="154" t="s">
        <v>78</v>
      </c>
      <c r="N5" s="154"/>
      <c r="O5" s="307">
        <f>SUM(I35)</f>
        <v>90000</v>
      </c>
      <c r="P5" s="307"/>
      <c r="Q5" s="156" t="s">
        <v>79</v>
      </c>
    </row>
    <row r="6" spans="1:27" ht="18.75" x14ac:dyDescent="0.15">
      <c r="J6" s="150" t="str">
        <f>IF(COUNTIF(G1,"*領収書*"),U10&amp;V10&amp;W10&amp;X10&amp;Y10&amp;Z10&amp;U11,"")</f>
        <v>令和4年4月30日　　上記、正に領収いたしました。</v>
      </c>
      <c r="O6" s="157"/>
      <c r="P6" s="157"/>
      <c r="Q6" s="158"/>
      <c r="U6" s="150" t="s">
        <v>80</v>
      </c>
    </row>
    <row r="7" spans="1:27" ht="11.25" customHeight="1" x14ac:dyDescent="0.15"/>
    <row r="8" spans="1:27" ht="23.25" customHeight="1" x14ac:dyDescent="0.15">
      <c r="A8" s="159"/>
      <c r="B8" s="160"/>
      <c r="C8" s="160"/>
      <c r="D8" s="160"/>
      <c r="E8" s="160"/>
      <c r="F8" s="160"/>
      <c r="G8" s="357" t="s">
        <v>81</v>
      </c>
      <c r="H8" s="357"/>
      <c r="I8" s="357"/>
      <c r="J8" s="357"/>
      <c r="K8" s="357"/>
      <c r="L8" s="357"/>
      <c r="M8" s="160"/>
      <c r="N8" s="160"/>
      <c r="O8" s="160"/>
      <c r="P8" s="160"/>
      <c r="Q8" s="160"/>
      <c r="R8" s="161"/>
      <c r="U8" s="162" t="s">
        <v>82</v>
      </c>
      <c r="V8" s="162" t="s">
        <v>83</v>
      </c>
      <c r="W8" s="162" t="s">
        <v>84</v>
      </c>
    </row>
    <row r="9" spans="1:27" ht="15.75" customHeight="1" x14ac:dyDescent="0.15">
      <c r="A9" s="359" t="s">
        <v>85</v>
      </c>
      <c r="B9" s="359"/>
      <c r="C9" s="359"/>
      <c r="D9" s="359"/>
      <c r="E9" s="359" t="s">
        <v>86</v>
      </c>
      <c r="F9" s="359"/>
      <c r="G9" s="359"/>
      <c r="H9" s="359"/>
      <c r="I9" s="359"/>
      <c r="J9" s="359" t="s">
        <v>87</v>
      </c>
      <c r="K9" s="359"/>
      <c r="L9" s="359"/>
      <c r="M9" s="163"/>
      <c r="N9" s="360" t="s">
        <v>88</v>
      </c>
      <c r="O9" s="360"/>
      <c r="P9" s="164"/>
      <c r="Q9" s="164"/>
      <c r="R9" s="165"/>
      <c r="U9" s="166">
        <f>'領収書後期 (正田'!$U$9</f>
        <v>44652</v>
      </c>
      <c r="V9" s="167">
        <f>B3</f>
        <v>0</v>
      </c>
      <c r="W9" s="168">
        <f>I31</f>
        <v>0</v>
      </c>
      <c r="Y9" s="154"/>
      <c r="Z9" s="154"/>
    </row>
    <row r="10" spans="1:27" ht="15.75" customHeight="1" x14ac:dyDescent="0.15">
      <c r="A10" s="359"/>
      <c r="B10" s="359"/>
      <c r="C10" s="359"/>
      <c r="D10" s="359"/>
      <c r="E10" s="359"/>
      <c r="F10" s="359"/>
      <c r="G10" s="359"/>
      <c r="H10" s="359"/>
      <c r="I10" s="359"/>
      <c r="J10" s="359"/>
      <c r="K10" s="359"/>
      <c r="L10" s="359"/>
      <c r="M10" s="169"/>
      <c r="R10" s="170"/>
      <c r="U10" s="171" t="str">
        <f>'領収書後期 (正田'!$U$10</f>
        <v>令和4</v>
      </c>
      <c r="V10" s="158" t="s">
        <v>1</v>
      </c>
      <c r="W10" s="158">
        <f>'領収書後期 (正田'!$W$10</f>
        <v>4</v>
      </c>
      <c r="X10" s="172" t="s">
        <v>89</v>
      </c>
      <c r="Y10" s="150">
        <f>'領収書後期 (正田'!$Y$10</f>
        <v>30</v>
      </c>
      <c r="Z10" s="170" t="s">
        <v>51</v>
      </c>
    </row>
    <row r="11" spans="1:27" ht="15.75" customHeight="1" x14ac:dyDescent="0.15">
      <c r="A11" s="353" t="s">
        <v>90</v>
      </c>
      <c r="B11" s="353"/>
      <c r="C11" s="353"/>
      <c r="D11" s="353"/>
      <c r="E11" s="354"/>
      <c r="F11" s="354"/>
      <c r="G11" s="350"/>
      <c r="H11" s="350"/>
      <c r="I11" s="350"/>
      <c r="J11" s="350">
        <f>SUM(O12)*350*E11</f>
        <v>0</v>
      </c>
      <c r="K11" s="350">
        <f t="shared" ref="K11:L14" si="0">SUM(J11)*270</f>
        <v>0</v>
      </c>
      <c r="L11" s="350">
        <f t="shared" si="0"/>
        <v>0</v>
      </c>
      <c r="M11" s="169" t="s">
        <v>91</v>
      </c>
      <c r="R11" s="170"/>
      <c r="U11" s="283" t="s">
        <v>92</v>
      </c>
      <c r="V11" s="293"/>
      <c r="W11" s="154"/>
      <c r="Y11" s="154"/>
      <c r="Z11" s="154"/>
      <c r="AA11" s="169"/>
    </row>
    <row r="12" spans="1:27" ht="15.75" customHeight="1" x14ac:dyDescent="0.15">
      <c r="A12" s="353"/>
      <c r="B12" s="353"/>
      <c r="C12" s="353"/>
      <c r="D12" s="353"/>
      <c r="E12" s="354"/>
      <c r="F12" s="354"/>
      <c r="G12" s="350"/>
      <c r="H12" s="350"/>
      <c r="I12" s="350"/>
      <c r="J12" s="350">
        <f>SUM(I12)*270</f>
        <v>0</v>
      </c>
      <c r="K12" s="350">
        <f t="shared" si="0"/>
        <v>0</v>
      </c>
      <c r="L12" s="350">
        <f t="shared" si="0"/>
        <v>0</v>
      </c>
      <c r="M12" s="169"/>
      <c r="O12" s="348"/>
      <c r="R12" s="170"/>
      <c r="U12" s="158"/>
      <c r="V12" s="158"/>
      <c r="X12" s="173"/>
    </row>
    <row r="13" spans="1:27" ht="15.75" customHeight="1" x14ac:dyDescent="0.15">
      <c r="A13" s="353"/>
      <c r="B13" s="353"/>
      <c r="C13" s="353"/>
      <c r="D13" s="353"/>
      <c r="E13" s="354"/>
      <c r="F13" s="354"/>
      <c r="G13" s="350"/>
      <c r="H13" s="350"/>
      <c r="I13" s="350"/>
      <c r="J13" s="350">
        <f>SUM(I13)*270</f>
        <v>0</v>
      </c>
      <c r="K13" s="350">
        <f t="shared" si="0"/>
        <v>0</v>
      </c>
      <c r="L13" s="350">
        <f t="shared" si="0"/>
        <v>0</v>
      </c>
      <c r="M13" s="169"/>
      <c r="N13" s="154"/>
      <c r="O13" s="349"/>
      <c r="P13" s="154" t="s">
        <v>93</v>
      </c>
      <c r="Q13" s="154"/>
      <c r="R13" s="170"/>
      <c r="U13" s="158"/>
      <c r="V13" s="158"/>
      <c r="X13" s="225"/>
    </row>
    <row r="14" spans="1:27" ht="15.75" hidden="1" customHeight="1" x14ac:dyDescent="0.15">
      <c r="A14" s="353"/>
      <c r="B14" s="353"/>
      <c r="C14" s="353"/>
      <c r="D14" s="353"/>
      <c r="E14" s="354"/>
      <c r="F14" s="354"/>
      <c r="G14" s="350"/>
      <c r="H14" s="350"/>
      <c r="I14" s="350"/>
      <c r="J14" s="350">
        <f>SUM(I14)*270</f>
        <v>0</v>
      </c>
      <c r="K14" s="350">
        <f t="shared" si="0"/>
        <v>0</v>
      </c>
      <c r="L14" s="350">
        <f t="shared" si="0"/>
        <v>0</v>
      </c>
      <c r="M14" s="169"/>
      <c r="R14" s="170"/>
      <c r="U14" s="158"/>
    </row>
    <row r="15" spans="1:27" ht="15.75" customHeight="1" x14ac:dyDescent="0.15">
      <c r="A15" s="232" t="str">
        <f>IF(C15=0,"",IF(C15="","","マッサージ施術自費"))</f>
        <v>マッサージ施術自費</v>
      </c>
      <c r="B15" s="233"/>
      <c r="C15" s="223">
        <f>'施術内訳書  (2)'!P4</f>
        <v>60</v>
      </c>
      <c r="D15" s="226" t="str">
        <f t="shared" ref="D15:D24" si="1">IF(C15=0,"",IF(C15="","","分"))</f>
        <v>分</v>
      </c>
      <c r="E15" s="227">
        <f>IF(C15=0,"",IF(C15="","",Y15))</f>
        <v>15</v>
      </c>
      <c r="F15" s="224"/>
      <c r="G15" s="350"/>
      <c r="H15" s="350"/>
      <c r="I15" s="350"/>
      <c r="J15" s="340">
        <f>IFERROR(100*E15*C15,"")</f>
        <v>90000</v>
      </c>
      <c r="K15" s="341"/>
      <c r="L15" s="342"/>
      <c r="M15" s="169"/>
      <c r="R15" s="170"/>
      <c r="U15" s="150" t="s">
        <v>94</v>
      </c>
      <c r="X15" s="154"/>
      <c r="Y15" s="150">
        <f>'施術内訳書  (2)'!Q4</f>
        <v>15</v>
      </c>
    </row>
    <row r="16" spans="1:27" ht="15.75" customHeight="1" x14ac:dyDescent="0.15">
      <c r="A16" s="232" t="str">
        <f t="shared" ref="A16:A21" si="2">IF(C16=0,"",IF(C16="","","マッサージ施術自費"))</f>
        <v/>
      </c>
      <c r="B16" s="233"/>
      <c r="C16" s="223">
        <f>'施術内訳書  (2)'!P5</f>
        <v>0</v>
      </c>
      <c r="D16" s="226" t="str">
        <f t="shared" si="1"/>
        <v/>
      </c>
      <c r="E16" s="227" t="str">
        <f t="shared" ref="E16:E25" si="3">IF(C16=0,"",IF(C16="","",Y16))</f>
        <v/>
      </c>
      <c r="F16" s="224"/>
      <c r="G16" s="350"/>
      <c r="H16" s="350"/>
      <c r="I16" s="350"/>
      <c r="J16" s="340" t="str">
        <f t="shared" ref="J16:J25" si="4">IFERROR(100*E16*C16,"")</f>
        <v/>
      </c>
      <c r="K16" s="341"/>
      <c r="L16" s="342"/>
      <c r="M16" s="169"/>
      <c r="R16" s="170"/>
      <c r="U16" s="174" t="s">
        <v>95</v>
      </c>
      <c r="V16" s="175" t="s">
        <v>96</v>
      </c>
      <c r="W16" s="176" t="s">
        <v>97</v>
      </c>
      <c r="Y16" s="150">
        <f>'施術内訳書  (2)'!Q5</f>
        <v>0</v>
      </c>
    </row>
    <row r="17" spans="1:25" ht="15.75" customHeight="1" x14ac:dyDescent="0.15">
      <c r="A17" s="232" t="str">
        <f t="shared" si="2"/>
        <v/>
      </c>
      <c r="B17" s="233"/>
      <c r="C17" s="223">
        <f>'施術内訳書  (2)'!P6</f>
        <v>0</v>
      </c>
      <c r="D17" s="226" t="str">
        <f t="shared" si="1"/>
        <v/>
      </c>
      <c r="E17" s="227" t="str">
        <f t="shared" si="3"/>
        <v/>
      </c>
      <c r="F17" s="224"/>
      <c r="G17" s="350"/>
      <c r="H17" s="350"/>
      <c r="I17" s="350"/>
      <c r="J17" s="340" t="str">
        <f t="shared" si="4"/>
        <v/>
      </c>
      <c r="K17" s="341"/>
      <c r="L17" s="342"/>
      <c r="M17" s="169" t="s">
        <v>98</v>
      </c>
      <c r="R17" s="170"/>
      <c r="U17" s="174" t="s">
        <v>95</v>
      </c>
      <c r="V17" s="175" t="s">
        <v>96</v>
      </c>
      <c r="W17" s="176" t="s">
        <v>97</v>
      </c>
      <c r="Y17" s="150">
        <f>'施術内訳書  (2)'!Q6</f>
        <v>0</v>
      </c>
    </row>
    <row r="18" spans="1:25" ht="16.5" customHeight="1" x14ac:dyDescent="0.15">
      <c r="A18" s="232" t="str">
        <f t="shared" si="2"/>
        <v/>
      </c>
      <c r="B18" s="233"/>
      <c r="C18" s="223">
        <f>'施術内訳書  (2)'!P7</f>
        <v>0</v>
      </c>
      <c r="D18" s="226" t="str">
        <f t="shared" si="1"/>
        <v/>
      </c>
      <c r="E18" s="227" t="str">
        <f t="shared" si="3"/>
        <v/>
      </c>
      <c r="F18" s="224"/>
      <c r="G18" s="350"/>
      <c r="H18" s="350"/>
      <c r="I18" s="350"/>
      <c r="J18" s="340" t="str">
        <f t="shared" si="4"/>
        <v/>
      </c>
      <c r="K18" s="341"/>
      <c r="L18" s="342"/>
      <c r="M18" s="169"/>
      <c r="R18" s="170"/>
      <c r="Y18" s="150">
        <f>'施術内訳書  (2)'!Q7</f>
        <v>0</v>
      </c>
    </row>
    <row r="19" spans="1:25" ht="15.75" customHeight="1" x14ac:dyDescent="0.15">
      <c r="A19" s="232" t="str">
        <f t="shared" si="2"/>
        <v/>
      </c>
      <c r="B19" s="233"/>
      <c r="C19" s="223">
        <f>'施術内訳書  (2)'!P8</f>
        <v>0</v>
      </c>
      <c r="D19" s="226" t="str">
        <f t="shared" si="1"/>
        <v/>
      </c>
      <c r="E19" s="227" t="str">
        <f t="shared" si="3"/>
        <v/>
      </c>
      <c r="F19" s="224"/>
      <c r="G19" s="350"/>
      <c r="H19" s="350"/>
      <c r="I19" s="350"/>
      <c r="J19" s="340" t="str">
        <f t="shared" si="4"/>
        <v/>
      </c>
      <c r="K19" s="341"/>
      <c r="L19" s="342"/>
      <c r="M19" s="169"/>
      <c r="O19" s="151"/>
      <c r="R19" s="170"/>
      <c r="U19" s="177" t="s">
        <v>99</v>
      </c>
      <c r="V19" s="177" t="s">
        <v>100</v>
      </c>
      <c r="W19" s="178" t="s">
        <v>101</v>
      </c>
      <c r="Y19" s="150">
        <f>'施術内訳書  (2)'!Q8</f>
        <v>0</v>
      </c>
    </row>
    <row r="20" spans="1:25" ht="16.5" customHeight="1" x14ac:dyDescent="0.15">
      <c r="A20" s="232" t="str">
        <f t="shared" si="2"/>
        <v/>
      </c>
      <c r="B20" s="234"/>
      <c r="C20" s="223">
        <f>'施術内訳書  (2)'!P9</f>
        <v>0</v>
      </c>
      <c r="D20" s="226" t="str">
        <f t="shared" si="1"/>
        <v/>
      </c>
      <c r="E20" s="227" t="str">
        <f t="shared" si="3"/>
        <v/>
      </c>
      <c r="F20" s="224"/>
      <c r="G20" s="350"/>
      <c r="H20" s="350"/>
      <c r="I20" s="350"/>
      <c r="J20" s="340" t="str">
        <f t="shared" si="4"/>
        <v/>
      </c>
      <c r="K20" s="341"/>
      <c r="L20" s="342"/>
      <c r="M20" s="169"/>
      <c r="N20" s="348"/>
      <c r="O20" s="348"/>
      <c r="R20" s="170"/>
      <c r="Y20" s="150">
        <f>'施術内訳書  (2)'!Q9</f>
        <v>0</v>
      </c>
    </row>
    <row r="21" spans="1:25" ht="15.75" customHeight="1" x14ac:dyDescent="0.15">
      <c r="A21" s="232" t="str">
        <f t="shared" si="2"/>
        <v/>
      </c>
      <c r="B21" s="233"/>
      <c r="C21" s="223">
        <f>'施術内訳書  (2)'!P10</f>
        <v>0</v>
      </c>
      <c r="D21" s="226" t="str">
        <f t="shared" si="1"/>
        <v/>
      </c>
      <c r="E21" s="227" t="str">
        <f t="shared" si="3"/>
        <v/>
      </c>
      <c r="F21" s="224"/>
      <c r="G21" s="350"/>
      <c r="H21" s="350"/>
      <c r="I21" s="350"/>
      <c r="J21" s="340" t="str">
        <f t="shared" si="4"/>
        <v/>
      </c>
      <c r="K21" s="341"/>
      <c r="L21" s="342"/>
      <c r="M21" s="169"/>
      <c r="N21" s="349"/>
      <c r="O21" s="349"/>
      <c r="P21" s="154" t="s">
        <v>102</v>
      </c>
      <c r="Q21" s="154"/>
      <c r="R21" s="170"/>
      <c r="U21" s="150" t="s">
        <v>103</v>
      </c>
      <c r="Y21" s="150">
        <f>'施術内訳書  (2)'!Q10</f>
        <v>0</v>
      </c>
    </row>
    <row r="22" spans="1:25" ht="15.75" customHeight="1" x14ac:dyDescent="0.15">
      <c r="A22" s="232" t="str">
        <f>IF(C22=0,"",IF(C22="","","マッサージ施術自費"))</f>
        <v/>
      </c>
      <c r="B22" s="214"/>
      <c r="C22" s="215" t="str">
        <f>'施術内訳書  (2)'!P11</f>
        <v/>
      </c>
      <c r="D22" s="226" t="str">
        <f t="shared" si="1"/>
        <v/>
      </c>
      <c r="E22" s="227" t="str">
        <f t="shared" si="3"/>
        <v/>
      </c>
      <c r="F22" s="224"/>
      <c r="G22" s="350"/>
      <c r="H22" s="350"/>
      <c r="I22" s="350"/>
      <c r="J22" s="340" t="str">
        <f t="shared" si="4"/>
        <v/>
      </c>
      <c r="K22" s="341"/>
      <c r="L22" s="342"/>
      <c r="M22" s="169"/>
      <c r="R22" s="170"/>
      <c r="U22" s="159" t="s">
        <v>104</v>
      </c>
      <c r="V22" s="160"/>
      <c r="W22" s="161"/>
      <c r="Y22" s="150">
        <f>'施術内訳書  (2)'!Q11</f>
        <v>16</v>
      </c>
    </row>
    <row r="23" spans="1:25" ht="15.75" customHeight="1" x14ac:dyDescent="0.15">
      <c r="A23" s="232" t="str">
        <f t="shared" ref="A23:A24" si="5">IF(C23=0,"",IF(C23="","","マッサージ施術自費"))</f>
        <v/>
      </c>
      <c r="B23" s="214"/>
      <c r="C23" s="215" t="str">
        <f>'施術内訳書  (2)'!P12</f>
        <v/>
      </c>
      <c r="D23" s="226" t="str">
        <f t="shared" si="1"/>
        <v/>
      </c>
      <c r="E23" s="227" t="str">
        <f t="shared" si="3"/>
        <v/>
      </c>
      <c r="F23" s="224"/>
      <c r="G23" s="350"/>
      <c r="H23" s="350"/>
      <c r="I23" s="350"/>
      <c r="J23" s="340" t="str">
        <f t="shared" si="4"/>
        <v/>
      </c>
      <c r="K23" s="341"/>
      <c r="L23" s="342"/>
      <c r="M23" s="169"/>
      <c r="R23" s="170"/>
      <c r="U23" s="179" t="s">
        <v>105</v>
      </c>
      <c r="V23" s="154"/>
      <c r="W23" s="180"/>
      <c r="Y23" s="150">
        <f>'施術内訳書  (2)'!Q12</f>
        <v>16</v>
      </c>
    </row>
    <row r="24" spans="1:25" ht="15.75" customHeight="1" x14ac:dyDescent="0.15">
      <c r="A24" s="232" t="str">
        <f t="shared" si="5"/>
        <v/>
      </c>
      <c r="B24" s="214"/>
      <c r="C24" s="215" t="str">
        <f>'施術内訳書  (2)'!P13</f>
        <v/>
      </c>
      <c r="D24" s="226" t="str">
        <f t="shared" si="1"/>
        <v/>
      </c>
      <c r="E24" s="227" t="str">
        <f t="shared" si="3"/>
        <v/>
      </c>
      <c r="F24" s="224"/>
      <c r="G24" s="350"/>
      <c r="H24" s="350"/>
      <c r="I24" s="350"/>
      <c r="J24" s="340" t="str">
        <f t="shared" si="4"/>
        <v/>
      </c>
      <c r="K24" s="341"/>
      <c r="L24" s="342"/>
      <c r="M24" s="169"/>
      <c r="R24" s="170"/>
      <c r="Y24" s="150">
        <f>'施術内訳書  (2)'!Q13</f>
        <v>16</v>
      </c>
    </row>
    <row r="25" spans="1:25" ht="15.75" customHeight="1" x14ac:dyDescent="0.15">
      <c r="A25" s="235" t="str">
        <f t="shared" ref="A25" si="6">IF(C25=0,"","マッサージ施術自費")</f>
        <v/>
      </c>
      <c r="B25" s="214"/>
      <c r="C25" s="215">
        <f>施術内訳書!AG20</f>
        <v>0</v>
      </c>
      <c r="D25" s="218" t="str">
        <f t="shared" ref="D25" si="7">IF(C25=0,"","分")</f>
        <v/>
      </c>
      <c r="E25" s="227" t="str">
        <f t="shared" si="3"/>
        <v/>
      </c>
      <c r="F25" s="218"/>
      <c r="G25" s="309"/>
      <c r="H25" s="310"/>
      <c r="I25" s="347"/>
      <c r="J25" s="340" t="str">
        <f t="shared" si="4"/>
        <v/>
      </c>
      <c r="K25" s="341"/>
      <c r="L25" s="342"/>
      <c r="M25" s="169" t="s">
        <v>106</v>
      </c>
      <c r="R25" s="170"/>
      <c r="V25" s="154"/>
    </row>
    <row r="26" spans="1:25" ht="15.75" customHeight="1" x14ac:dyDescent="0.15">
      <c r="A26" s="216"/>
      <c r="B26" s="217"/>
      <c r="C26" s="217"/>
      <c r="D26" s="219"/>
      <c r="E26" s="327"/>
      <c r="F26" s="328"/>
      <c r="G26" s="311"/>
      <c r="H26" s="312"/>
      <c r="I26" s="329"/>
      <c r="J26" s="330">
        <f>4500*E26</f>
        <v>0</v>
      </c>
      <c r="K26" s="331"/>
      <c r="L26" s="332"/>
      <c r="M26" s="181" t="s">
        <v>107</v>
      </c>
      <c r="N26" s="38" t="s">
        <v>108</v>
      </c>
      <c r="O26" s="38"/>
      <c r="P26" s="38"/>
      <c r="Q26" s="182" t="s">
        <v>109</v>
      </c>
      <c r="R26" s="183"/>
      <c r="V26" s="154"/>
    </row>
    <row r="27" spans="1:25" ht="15.75" customHeight="1" x14ac:dyDescent="0.15">
      <c r="A27" s="220"/>
      <c r="B27" s="221"/>
      <c r="C27" s="221"/>
      <c r="D27" s="222"/>
      <c r="E27" s="327"/>
      <c r="F27" s="328"/>
      <c r="G27" s="311"/>
      <c r="H27" s="312"/>
      <c r="I27" s="329"/>
      <c r="J27" s="330"/>
      <c r="K27" s="331"/>
      <c r="L27" s="332"/>
      <c r="M27" s="181" t="s">
        <v>107</v>
      </c>
      <c r="N27" s="38" t="s">
        <v>108</v>
      </c>
      <c r="O27" s="38"/>
      <c r="P27" s="38"/>
      <c r="Q27" s="182" t="s">
        <v>109</v>
      </c>
      <c r="R27" s="183"/>
    </row>
    <row r="28" spans="1:25" ht="15.75" customHeight="1" x14ac:dyDescent="0.15">
      <c r="A28" s="300" t="s">
        <v>110</v>
      </c>
      <c r="B28" s="301"/>
      <c r="C28" s="301"/>
      <c r="D28" s="302"/>
      <c r="E28" s="184" t="s">
        <v>107</v>
      </c>
      <c r="F28" s="185"/>
      <c r="G28" s="303">
        <f>SUM(F28)*2300</f>
        <v>0</v>
      </c>
      <c r="H28" s="304"/>
      <c r="I28" s="305"/>
      <c r="J28" s="306">
        <f>G28</f>
        <v>0</v>
      </c>
      <c r="K28" s="307"/>
      <c r="L28" s="308"/>
      <c r="M28" s="181"/>
      <c r="N28" s="38"/>
      <c r="O28" s="186"/>
      <c r="P28" s="38"/>
      <c r="Q28" s="187"/>
      <c r="R28" s="183"/>
    </row>
    <row r="29" spans="1:25" ht="15.75" customHeight="1" x14ac:dyDescent="0.15">
      <c r="A29" s="309" t="s">
        <v>111</v>
      </c>
      <c r="B29" s="310"/>
      <c r="C29" s="310"/>
      <c r="D29" s="310"/>
      <c r="E29" s="310"/>
      <c r="F29" s="310"/>
      <c r="G29" s="310"/>
      <c r="H29" s="310"/>
      <c r="I29" s="313">
        <f>SUM(J15,J16,J17,J18,J19,J20,J21,J22,J23,J24,J25,J26,J27)</f>
        <v>90000</v>
      </c>
      <c r="J29" s="314"/>
      <c r="K29" s="314"/>
      <c r="L29" s="315"/>
      <c r="M29" s="181"/>
      <c r="N29" s="38"/>
      <c r="O29" s="186"/>
      <c r="P29" s="38"/>
      <c r="Q29" s="187"/>
      <c r="R29" s="183"/>
    </row>
    <row r="30" spans="1:25" ht="15.75" customHeight="1" x14ac:dyDescent="0.15">
      <c r="A30" s="311"/>
      <c r="B30" s="312"/>
      <c r="C30" s="312"/>
      <c r="D30" s="312"/>
      <c r="E30" s="312"/>
      <c r="F30" s="312"/>
      <c r="G30" s="312"/>
      <c r="H30" s="312"/>
      <c r="I30" s="306"/>
      <c r="J30" s="307"/>
      <c r="K30" s="307"/>
      <c r="L30" s="308"/>
      <c r="M30" s="181"/>
      <c r="N30" s="326"/>
      <c r="O30" s="326"/>
      <c r="P30" s="326"/>
      <c r="Q30" s="187"/>
      <c r="R30" s="183"/>
    </row>
    <row r="31" spans="1:25" ht="15.75" customHeight="1" x14ac:dyDescent="0.15">
      <c r="A31" s="282" t="s">
        <v>112</v>
      </c>
      <c r="B31" s="292"/>
      <c r="C31" s="292"/>
      <c r="D31" s="292"/>
      <c r="E31" s="292"/>
      <c r="F31" s="292"/>
      <c r="G31" s="292"/>
      <c r="H31" s="284"/>
      <c r="I31" s="316">
        <f>SUM(J11,J28)</f>
        <v>0</v>
      </c>
      <c r="J31" s="316"/>
      <c r="K31" s="316"/>
      <c r="L31" s="316"/>
      <c r="M31" s="181"/>
      <c r="N31" s="38"/>
      <c r="O31" s="38"/>
      <c r="P31" s="38"/>
      <c r="Q31" s="187"/>
      <c r="R31" s="183"/>
    </row>
    <row r="32" spans="1:25" ht="15.75" customHeight="1" thickBot="1" x14ac:dyDescent="0.2">
      <c r="A32" s="283"/>
      <c r="B32" s="293"/>
      <c r="C32" s="293"/>
      <c r="D32" s="293"/>
      <c r="E32" s="293"/>
      <c r="F32" s="293"/>
      <c r="G32" s="293"/>
      <c r="H32" s="285"/>
      <c r="I32" s="317"/>
      <c r="J32" s="317"/>
      <c r="K32" s="317"/>
      <c r="L32" s="317"/>
      <c r="M32" s="181"/>
      <c r="N32" s="38"/>
      <c r="Q32" s="38"/>
      <c r="R32" s="170"/>
    </row>
    <row r="33" spans="1:19" ht="15.75" customHeight="1" thickTop="1" x14ac:dyDescent="0.15">
      <c r="A33" s="282" t="s">
        <v>113</v>
      </c>
      <c r="B33" s="292"/>
      <c r="C33" s="292"/>
      <c r="D33" s="292"/>
      <c r="E33" s="292"/>
      <c r="F33" s="292"/>
      <c r="G33" s="318">
        <v>3</v>
      </c>
      <c r="H33" s="173"/>
      <c r="I33" s="320">
        <f>SUM(I31)*G33*0.1</f>
        <v>0</v>
      </c>
      <c r="J33" s="321"/>
      <c r="K33" s="321"/>
      <c r="L33" s="322"/>
      <c r="N33" s="148"/>
      <c r="R33" s="170"/>
    </row>
    <row r="34" spans="1:19" ht="15.75" customHeight="1" thickBot="1" x14ac:dyDescent="0.2">
      <c r="A34" s="283"/>
      <c r="B34" s="293"/>
      <c r="C34" s="293"/>
      <c r="D34" s="293"/>
      <c r="E34" s="293"/>
      <c r="F34" s="293"/>
      <c r="G34" s="319"/>
      <c r="H34" s="154" t="s">
        <v>114</v>
      </c>
      <c r="I34" s="323"/>
      <c r="J34" s="324"/>
      <c r="K34" s="324"/>
      <c r="L34" s="325"/>
      <c r="N34" s="148"/>
      <c r="R34" s="170"/>
    </row>
    <row r="35" spans="1:19" ht="15" thickTop="1" x14ac:dyDescent="0.15">
      <c r="A35" s="292" t="s">
        <v>115</v>
      </c>
      <c r="B35" s="292"/>
      <c r="C35" s="292"/>
      <c r="D35" s="292"/>
      <c r="E35" s="292"/>
      <c r="F35" s="292"/>
      <c r="G35" s="292"/>
      <c r="H35" s="284"/>
      <c r="I35" s="294">
        <f>SUM(I33,I29)</f>
        <v>90000</v>
      </c>
      <c r="J35" s="295"/>
      <c r="K35" s="295"/>
      <c r="L35" s="296"/>
      <c r="M35" s="169"/>
      <c r="R35" s="170"/>
      <c r="S35" s="169"/>
    </row>
    <row r="36" spans="1:19" x14ac:dyDescent="0.15">
      <c r="A36" s="293"/>
      <c r="B36" s="293"/>
      <c r="C36" s="293"/>
      <c r="D36" s="293"/>
      <c r="E36" s="293"/>
      <c r="F36" s="293"/>
      <c r="G36" s="293"/>
      <c r="H36" s="285"/>
      <c r="I36" s="297"/>
      <c r="J36" s="298"/>
      <c r="K36" s="298"/>
      <c r="L36" s="299"/>
      <c r="M36" s="179"/>
      <c r="S36" s="169"/>
    </row>
    <row r="37" spans="1:19" ht="15.75" customHeight="1" x14ac:dyDescent="0.15">
      <c r="A37" s="188"/>
      <c r="B37" s="173"/>
      <c r="C37" s="173"/>
      <c r="D37" s="173"/>
      <c r="E37" s="173"/>
      <c r="F37" s="286" t="s">
        <v>116</v>
      </c>
      <c r="G37" s="286"/>
      <c r="H37" s="286"/>
      <c r="I37" s="286"/>
      <c r="J37" s="286"/>
      <c r="K37" s="173"/>
      <c r="L37" s="173"/>
      <c r="M37" s="173"/>
      <c r="N37" s="173" t="s">
        <v>117</v>
      </c>
      <c r="O37" s="173"/>
      <c r="P37" s="173"/>
      <c r="Q37" s="173"/>
      <c r="R37" s="189"/>
    </row>
    <row r="38" spans="1:19" ht="15.75" customHeight="1" x14ac:dyDescent="0.15">
      <c r="A38" s="179"/>
      <c r="B38" s="154"/>
      <c r="C38" s="154"/>
      <c r="D38" s="154"/>
      <c r="E38" s="154"/>
      <c r="F38" s="287"/>
      <c r="G38" s="287"/>
      <c r="H38" s="287"/>
      <c r="I38" s="287"/>
      <c r="J38" s="287"/>
      <c r="K38" s="154"/>
      <c r="L38" s="154"/>
      <c r="M38" s="154"/>
      <c r="N38" s="190" t="s">
        <v>118</v>
      </c>
      <c r="O38" s="154"/>
      <c r="P38" s="154"/>
      <c r="Q38" s="154"/>
      <c r="R38" s="180"/>
    </row>
    <row r="39" spans="1:19" ht="17.25" customHeight="1" x14ac:dyDescent="0.15">
      <c r="A39" s="361" t="str">
        <f>'領収書後期 (正田'!$A$39</f>
        <v>4月</v>
      </c>
      <c r="B39" s="362"/>
      <c r="C39" s="191" t="str">
        <f>IF('施術内訳書  (2)'!C12="",1,"①")</f>
        <v>①</v>
      </c>
      <c r="D39" s="192">
        <f>IF('施術内訳書  (2)'!C13="",2,"②")</f>
        <v>2</v>
      </c>
      <c r="E39" s="193">
        <f>IF('施術内訳書  (2)'!C14="",3,"③")</f>
        <v>3</v>
      </c>
      <c r="F39" s="192" t="str">
        <f>IF('施術内訳書  (2)'!C15="",4,"④")</f>
        <v>④</v>
      </c>
      <c r="G39" s="192" t="str">
        <f>IF('施術内訳書  (2)'!C16="",5,"⑤")</f>
        <v>⑤</v>
      </c>
      <c r="H39" s="192">
        <f>IF('施術内訳書  (2)'!C17="",6,"⑥")</f>
        <v>6</v>
      </c>
      <c r="I39" s="192" t="str">
        <f>IF('施術内訳書  (2)'!C18="",7,"⑦")</f>
        <v>⑦</v>
      </c>
      <c r="J39" s="192">
        <f>IF('施術内訳書  (2)'!C19="",8,"⑧")</f>
        <v>8</v>
      </c>
      <c r="K39" s="192">
        <f>IF('施術内訳書  (2)'!C20="",9,"⑨")</f>
        <v>9</v>
      </c>
      <c r="L39" s="192">
        <f>IF('施術内訳書  (2)'!C21="",10,"⑩")</f>
        <v>10</v>
      </c>
      <c r="M39" s="192" t="str">
        <f>IF('施術内訳書  (2)'!C22="",11,"⑪")</f>
        <v>⑪</v>
      </c>
      <c r="N39" s="192" t="str">
        <f>IF('施術内訳書  (2)'!C23="",12,"⑫")</f>
        <v>⑫</v>
      </c>
      <c r="O39" s="192">
        <f>IF('施術内訳書  (2)'!C24="",13,"⑬")</f>
        <v>13</v>
      </c>
      <c r="P39" s="192">
        <f>IF('施術内訳書  (2)'!C25="",14,"⑭")</f>
        <v>14</v>
      </c>
      <c r="Q39" s="192" t="str">
        <f>IF('施術内訳書  (2)'!C26="",15,"⑮")</f>
        <v>⑮</v>
      </c>
      <c r="R39" s="194"/>
    </row>
    <row r="40" spans="1:19" ht="17.25" customHeight="1" x14ac:dyDescent="0.15">
      <c r="A40" s="363"/>
      <c r="B40" s="364"/>
      <c r="C40" s="195">
        <f>IF('施術内訳書  (2)'!C27="",16,"⑯")</f>
        <v>16</v>
      </c>
      <c r="D40" s="196">
        <f>IF('施術内訳書  (2)'!C28="",17,"⑰")</f>
        <v>17</v>
      </c>
      <c r="E40" s="196" t="str">
        <f>IF('施術内訳書  (2)'!C29="",18,"⑱")</f>
        <v>⑱</v>
      </c>
      <c r="F40" s="196" t="str">
        <f>IF('施術内訳書  (2)'!C30="",19,"⑲")</f>
        <v>⑲</v>
      </c>
      <c r="G40" s="196">
        <f>IF('施術内訳書  (2)'!C31="",20,"⑳")</f>
        <v>20</v>
      </c>
      <c r="H40" s="196" t="str">
        <f>IF('施術内訳書  (2)'!C32="",21,"㉑")</f>
        <v>㉑</v>
      </c>
      <c r="I40" s="196" t="str">
        <f>IF('施術内訳書  (2)'!C33="",22,"㉒")</f>
        <v>㉒</v>
      </c>
      <c r="J40" s="196">
        <f>IF('施術内訳書  (2)'!C34="",23,"㉓")</f>
        <v>23</v>
      </c>
      <c r="K40" s="196">
        <f>IF('施術内訳書  (2)'!C35="",24,"㉔")</f>
        <v>24</v>
      </c>
      <c r="L40" s="196" t="str">
        <f>IF('施術内訳書  (2)'!C36="",25,"㉕")</f>
        <v>㉕</v>
      </c>
      <c r="M40" s="196" t="str">
        <f>IF('施術内訳書  (2)'!C37="",26,"㉖")</f>
        <v>㉖</v>
      </c>
      <c r="N40" s="196">
        <f>IF('施術内訳書  (2)'!C38="",27,"㉗")</f>
        <v>27</v>
      </c>
      <c r="O40" s="196" t="str">
        <f>IF('施術内訳書  (2)'!C39="",28,"㉘")</f>
        <v>㉘</v>
      </c>
      <c r="P40" s="196" t="str">
        <f>IF('施術内訳書  (2)'!C40="",29,"㉙")</f>
        <v>㉙</v>
      </c>
      <c r="Q40" s="196">
        <f>IF('施術内訳書  (2)'!C41="",30,"㉚")</f>
        <v>30</v>
      </c>
      <c r="R40" s="197">
        <f>IF('施術内訳書  (2)'!C42="",31,"㉛")</f>
        <v>31</v>
      </c>
    </row>
    <row r="41" spans="1:19" ht="17.25" customHeight="1" x14ac:dyDescent="0.15">
      <c r="A41" s="282"/>
      <c r="B41" s="284"/>
      <c r="C41" s="171">
        <v>1</v>
      </c>
      <c r="D41" s="172">
        <v>2</v>
      </c>
      <c r="E41" s="172">
        <v>3</v>
      </c>
      <c r="F41" s="172">
        <v>4</v>
      </c>
      <c r="G41" s="172">
        <v>5</v>
      </c>
      <c r="H41" s="172">
        <v>6</v>
      </c>
      <c r="I41" s="172">
        <v>7</v>
      </c>
      <c r="J41" s="172">
        <v>8</v>
      </c>
      <c r="K41" s="172">
        <v>9</v>
      </c>
      <c r="L41" s="172">
        <v>10</v>
      </c>
      <c r="M41" s="172">
        <v>11</v>
      </c>
      <c r="N41" s="172">
        <v>12</v>
      </c>
      <c r="O41" s="172">
        <v>13</v>
      </c>
      <c r="P41" s="172">
        <v>14</v>
      </c>
      <c r="Q41" s="172">
        <v>15</v>
      </c>
      <c r="R41" s="198"/>
    </row>
    <row r="42" spans="1:19" ht="17.25" customHeight="1" x14ac:dyDescent="0.15">
      <c r="A42" s="283"/>
      <c r="B42" s="285"/>
      <c r="C42" s="199">
        <v>16</v>
      </c>
      <c r="D42" s="200">
        <v>17</v>
      </c>
      <c r="E42" s="200">
        <v>18</v>
      </c>
      <c r="F42" s="200">
        <v>19</v>
      </c>
      <c r="G42" s="200">
        <v>20</v>
      </c>
      <c r="H42" s="200">
        <v>21</v>
      </c>
      <c r="I42" s="200">
        <v>22</v>
      </c>
      <c r="J42" s="200">
        <v>23</v>
      </c>
      <c r="K42" s="200">
        <v>24</v>
      </c>
      <c r="L42" s="200">
        <v>25</v>
      </c>
      <c r="M42" s="200">
        <v>26</v>
      </c>
      <c r="N42" s="200">
        <v>27</v>
      </c>
      <c r="O42" s="200">
        <v>28</v>
      </c>
      <c r="P42" s="200">
        <v>29</v>
      </c>
      <c r="Q42" s="200">
        <v>30</v>
      </c>
      <c r="R42" s="201">
        <v>31</v>
      </c>
    </row>
    <row r="43" spans="1:19" ht="17.25" customHeight="1" x14ac:dyDescent="0.15">
      <c r="A43" s="282"/>
      <c r="B43" s="284"/>
      <c r="C43" s="158">
        <v>1</v>
      </c>
      <c r="D43" s="158">
        <v>2</v>
      </c>
      <c r="E43" s="158">
        <v>3</v>
      </c>
      <c r="F43" s="158">
        <v>4</v>
      </c>
      <c r="G43" s="158">
        <v>5</v>
      </c>
      <c r="H43" s="158">
        <v>6</v>
      </c>
      <c r="I43" s="158">
        <v>7</v>
      </c>
      <c r="J43" s="158">
        <v>8</v>
      </c>
      <c r="K43" s="158">
        <v>9</v>
      </c>
      <c r="L43" s="158">
        <v>10</v>
      </c>
      <c r="M43" s="158">
        <v>11</v>
      </c>
      <c r="N43" s="158">
        <v>12</v>
      </c>
      <c r="O43" s="158">
        <v>13</v>
      </c>
      <c r="P43" s="158">
        <v>14</v>
      </c>
      <c r="Q43" s="158">
        <v>15</v>
      </c>
      <c r="R43" s="185"/>
    </row>
    <row r="44" spans="1:19" ht="17.25" customHeight="1" x14ac:dyDescent="0.15">
      <c r="A44" s="283"/>
      <c r="B44" s="285"/>
      <c r="C44" s="199">
        <v>16</v>
      </c>
      <c r="D44" s="200">
        <v>17</v>
      </c>
      <c r="E44" s="200">
        <v>18</v>
      </c>
      <c r="F44" s="200">
        <v>19</v>
      </c>
      <c r="G44" s="200">
        <v>20</v>
      </c>
      <c r="H44" s="200">
        <v>21</v>
      </c>
      <c r="I44" s="200">
        <v>22</v>
      </c>
      <c r="J44" s="200">
        <v>23</v>
      </c>
      <c r="K44" s="200">
        <v>24</v>
      </c>
      <c r="L44" s="200">
        <v>25</v>
      </c>
      <c r="M44" s="200">
        <v>26</v>
      </c>
      <c r="N44" s="200">
        <v>27</v>
      </c>
      <c r="O44" s="200">
        <v>28</v>
      </c>
      <c r="P44" s="200">
        <v>29</v>
      </c>
      <c r="Q44" s="200">
        <v>30</v>
      </c>
      <c r="R44" s="201">
        <v>31</v>
      </c>
    </row>
    <row r="45" spans="1:19" ht="17.25" customHeight="1" x14ac:dyDescent="0.15">
      <c r="A45" s="282"/>
      <c r="B45" s="284"/>
      <c r="C45" s="158">
        <v>1</v>
      </c>
      <c r="D45" s="158">
        <v>2</v>
      </c>
      <c r="E45" s="158">
        <v>3</v>
      </c>
      <c r="F45" s="158">
        <v>4</v>
      </c>
      <c r="G45" s="158">
        <v>5</v>
      </c>
      <c r="H45" s="158">
        <v>6</v>
      </c>
      <c r="I45" s="158">
        <v>7</v>
      </c>
      <c r="J45" s="158">
        <v>8</v>
      </c>
      <c r="K45" s="158">
        <v>9</v>
      </c>
      <c r="L45" s="158">
        <v>10</v>
      </c>
      <c r="M45" s="158">
        <v>11</v>
      </c>
      <c r="N45" s="158">
        <v>12</v>
      </c>
      <c r="O45" s="158">
        <v>13</v>
      </c>
      <c r="P45" s="158">
        <v>14</v>
      </c>
      <c r="Q45" s="158">
        <v>15</v>
      </c>
      <c r="R45" s="185"/>
    </row>
    <row r="46" spans="1:19" ht="16.5" customHeight="1" x14ac:dyDescent="0.15">
      <c r="A46" s="283"/>
      <c r="B46" s="285"/>
      <c r="C46" s="199">
        <v>16</v>
      </c>
      <c r="D46" s="200">
        <v>17</v>
      </c>
      <c r="E46" s="200">
        <v>18</v>
      </c>
      <c r="F46" s="200">
        <v>19</v>
      </c>
      <c r="G46" s="200">
        <v>20</v>
      </c>
      <c r="H46" s="200">
        <v>21</v>
      </c>
      <c r="I46" s="200">
        <v>22</v>
      </c>
      <c r="J46" s="200">
        <v>23</v>
      </c>
      <c r="K46" s="200">
        <v>24</v>
      </c>
      <c r="L46" s="200">
        <v>25</v>
      </c>
      <c r="M46" s="200">
        <v>26</v>
      </c>
      <c r="N46" s="200">
        <v>27</v>
      </c>
      <c r="O46" s="200">
        <v>28</v>
      </c>
      <c r="P46" s="200">
        <v>29</v>
      </c>
      <c r="Q46" s="200">
        <v>30</v>
      </c>
      <c r="R46" s="201">
        <v>31</v>
      </c>
    </row>
    <row r="48" spans="1:19" x14ac:dyDescent="0.15">
      <c r="H48" s="150" t="s">
        <v>65</v>
      </c>
    </row>
    <row r="50" spans="9:23" x14ac:dyDescent="0.15">
      <c r="I50" s="150" t="s">
        <v>119</v>
      </c>
      <c r="L50" s="150" t="s">
        <v>120</v>
      </c>
    </row>
    <row r="51" spans="9:23" x14ac:dyDescent="0.15">
      <c r="K51" s="150" t="s">
        <v>121</v>
      </c>
    </row>
    <row r="52" spans="9:23" ht="6.75" customHeight="1" x14ac:dyDescent="0.15"/>
    <row r="53" spans="9:23" x14ac:dyDescent="0.15">
      <c r="I53" s="154" t="s">
        <v>122</v>
      </c>
      <c r="J53" s="154"/>
      <c r="K53" s="154"/>
      <c r="L53" s="154"/>
      <c r="M53" s="154"/>
      <c r="N53" s="154"/>
      <c r="O53" s="154"/>
      <c r="P53" s="154"/>
    </row>
    <row r="54" spans="9:23" ht="27.75" customHeight="1" x14ac:dyDescent="0.15"/>
    <row r="56" spans="9:23" x14ac:dyDescent="0.15">
      <c r="V56" s="202"/>
      <c r="W56" s="202"/>
    </row>
    <row r="60" spans="9:23" x14ac:dyDescent="0.15">
      <c r="W60" s="158"/>
    </row>
    <row r="61" spans="9:23" x14ac:dyDescent="0.15">
      <c r="W61" s="158"/>
    </row>
    <row r="62" spans="9:23" x14ac:dyDescent="0.15">
      <c r="W62" s="158"/>
    </row>
    <row r="63" spans="9:23" x14ac:dyDescent="0.15">
      <c r="W63" s="158"/>
    </row>
  </sheetData>
  <mergeCells count="58">
    <mergeCell ref="A9:D10"/>
    <mergeCell ref="E9:F10"/>
    <mergeCell ref="G9:I10"/>
    <mergeCell ref="J9:L10"/>
    <mergeCell ref="N9:O9"/>
    <mergeCell ref="P1:R1"/>
    <mergeCell ref="L2:N2"/>
    <mergeCell ref="D4:G4"/>
    <mergeCell ref="O5:P5"/>
    <mergeCell ref="G8:L8"/>
    <mergeCell ref="A11:D14"/>
    <mergeCell ref="E11:F14"/>
    <mergeCell ref="G11:I14"/>
    <mergeCell ref="J11:L14"/>
    <mergeCell ref="U11:V11"/>
    <mergeCell ref="O12:O13"/>
    <mergeCell ref="N20:O21"/>
    <mergeCell ref="G21:I24"/>
    <mergeCell ref="J21:L21"/>
    <mergeCell ref="G15:I20"/>
    <mergeCell ref="J15:L15"/>
    <mergeCell ref="J16:L16"/>
    <mergeCell ref="J17:L17"/>
    <mergeCell ref="J18:L18"/>
    <mergeCell ref="J19:L19"/>
    <mergeCell ref="J20:L20"/>
    <mergeCell ref="J22:L22"/>
    <mergeCell ref="J23:L23"/>
    <mergeCell ref="J24:L24"/>
    <mergeCell ref="G25:I25"/>
    <mergeCell ref="J25:L25"/>
    <mergeCell ref="N30:P30"/>
    <mergeCell ref="E26:F26"/>
    <mergeCell ref="G26:I26"/>
    <mergeCell ref="J26:L26"/>
    <mergeCell ref="E27:F27"/>
    <mergeCell ref="G27:I27"/>
    <mergeCell ref="J27:L27"/>
    <mergeCell ref="A35:H36"/>
    <mergeCell ref="I35:L36"/>
    <mergeCell ref="A28:D28"/>
    <mergeCell ref="G28:I28"/>
    <mergeCell ref="J28:L28"/>
    <mergeCell ref="A29:H30"/>
    <mergeCell ref="I29:L30"/>
    <mergeCell ref="A31:H32"/>
    <mergeCell ref="I31:L32"/>
    <mergeCell ref="A33:F34"/>
    <mergeCell ref="G33:G34"/>
    <mergeCell ref="I33:L34"/>
    <mergeCell ref="A45:A46"/>
    <mergeCell ref="B45:B46"/>
    <mergeCell ref="F37:J38"/>
    <mergeCell ref="A39:B40"/>
    <mergeCell ref="A41:A42"/>
    <mergeCell ref="B41:B42"/>
    <mergeCell ref="A43:A44"/>
    <mergeCell ref="B43:B44"/>
  </mergeCells>
  <phoneticPr fontId="1"/>
  <conditionalFormatting sqref="C39:R40">
    <cfRule type="cellIs" dxfId="0" priority="1" operator="between">
      <formula>"①"</formula>
      <formula>"㉛"</formula>
    </cfRule>
  </conditionalFormatting>
  <dataValidations count="1">
    <dataValidation type="list" allowBlank="1" showInputMessage="1" showErrorMessage="1" sqref="G1" xr:uid="{AD31FD97-A964-4E2B-B1AE-CE27443B1F83}">
      <formula1>$U$22:$U$23</formula1>
    </dataValidation>
  </dataValidations>
  <printOptions horizontalCentered="1"/>
  <pageMargins left="0.39370078740157483" right="0.39370078740157483" top="0.78740157480314965" bottom="0.19685039370078741" header="0.31496062992125984" footer="0.31496062992125984"/>
  <pageSetup paperSize="9" scale="55" orientation="portrait" horizont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D2:P21"/>
  <sheetViews>
    <sheetView workbookViewId="0">
      <selection activeCell="K20" sqref="K20"/>
    </sheetView>
  </sheetViews>
  <sheetFormatPr defaultRowHeight="13.5" x14ac:dyDescent="0.15"/>
  <cols>
    <col min="1" max="2" width="3.5" customWidth="1"/>
    <col min="4" max="4" width="3.5" customWidth="1"/>
    <col min="14" max="14" width="3.5" customWidth="1"/>
  </cols>
  <sheetData>
    <row r="2" spans="4:16" x14ac:dyDescent="0.15">
      <c r="E2" s="366"/>
      <c r="F2" s="366"/>
    </row>
    <row r="3" spans="4:16" x14ac:dyDescent="0.15">
      <c r="D3" s="371"/>
      <c r="E3" s="372"/>
      <c r="F3" s="94" t="s">
        <v>45</v>
      </c>
      <c r="G3" s="95" t="s">
        <v>46</v>
      </c>
      <c r="H3" s="95" t="s">
        <v>47</v>
      </c>
      <c r="I3" s="95" t="s">
        <v>48</v>
      </c>
      <c r="J3" s="95" t="s">
        <v>49</v>
      </c>
      <c r="K3" s="95" t="s">
        <v>50</v>
      </c>
      <c r="L3" s="95" t="s">
        <v>51</v>
      </c>
    </row>
    <row r="4" spans="4:16" x14ac:dyDescent="0.15">
      <c r="D4" s="368" t="s">
        <v>53</v>
      </c>
      <c r="E4" s="52" t="s">
        <v>41</v>
      </c>
      <c r="F4" s="52" t="s">
        <v>74</v>
      </c>
      <c r="G4" s="52"/>
      <c r="H4" s="52" t="s">
        <v>130</v>
      </c>
      <c r="I4" s="52"/>
      <c r="J4" s="52" t="s">
        <v>74</v>
      </c>
      <c r="K4" s="52"/>
      <c r="L4" s="52"/>
    </row>
    <row r="5" spans="4:16" x14ac:dyDescent="0.15">
      <c r="D5" s="369"/>
      <c r="E5" s="52" t="s">
        <v>6</v>
      </c>
      <c r="F5" s="52">
        <v>60</v>
      </c>
      <c r="G5" s="52"/>
      <c r="H5" s="52">
        <v>45</v>
      </c>
      <c r="I5" s="52"/>
      <c r="J5" s="52">
        <v>60</v>
      </c>
      <c r="K5" s="52"/>
      <c r="L5" s="52"/>
    </row>
    <row r="6" spans="4:16" x14ac:dyDescent="0.15">
      <c r="D6" s="369"/>
      <c r="E6" s="52" t="s">
        <v>42</v>
      </c>
      <c r="F6" s="52">
        <v>6000</v>
      </c>
      <c r="G6" s="52"/>
      <c r="H6" s="52">
        <v>4500</v>
      </c>
      <c r="I6" s="52"/>
      <c r="J6" s="52">
        <v>6000</v>
      </c>
      <c r="K6" s="52"/>
      <c r="L6" s="52"/>
    </row>
    <row r="7" spans="4:16" x14ac:dyDescent="0.15">
      <c r="D7" s="370" t="s">
        <v>37</v>
      </c>
      <c r="E7" s="52" t="s">
        <v>41</v>
      </c>
      <c r="F7" s="52"/>
      <c r="G7" s="52" t="s">
        <v>74</v>
      </c>
      <c r="H7" s="52" t="s">
        <v>74</v>
      </c>
      <c r="I7" s="52" t="s">
        <v>43</v>
      </c>
      <c r="J7" s="52" t="s">
        <v>43</v>
      </c>
      <c r="K7" s="52"/>
      <c r="L7" s="52"/>
    </row>
    <row r="8" spans="4:16" x14ac:dyDescent="0.15">
      <c r="D8" s="370"/>
      <c r="E8" s="52" t="s">
        <v>6</v>
      </c>
      <c r="F8" s="52"/>
      <c r="G8" s="52">
        <v>60</v>
      </c>
      <c r="H8" s="52">
        <v>60</v>
      </c>
      <c r="I8" s="52">
        <v>45</v>
      </c>
      <c r="J8" s="52">
        <v>45</v>
      </c>
      <c r="K8" s="52"/>
      <c r="L8" s="52"/>
    </row>
    <row r="9" spans="4:16" x14ac:dyDescent="0.15">
      <c r="D9" s="370"/>
      <c r="E9" s="52" t="s">
        <v>42</v>
      </c>
      <c r="F9" s="52"/>
      <c r="G9" s="52">
        <v>6000</v>
      </c>
      <c r="H9" s="52">
        <v>6000</v>
      </c>
      <c r="I9" s="52">
        <v>2715</v>
      </c>
      <c r="J9" s="52">
        <v>2715</v>
      </c>
      <c r="K9" s="52"/>
      <c r="L9" s="52"/>
      <c r="P9" s="22"/>
    </row>
    <row r="12" spans="4:16" x14ac:dyDescent="0.15">
      <c r="L12" s="22"/>
    </row>
    <row r="13" spans="4:16" x14ac:dyDescent="0.15">
      <c r="D13" s="22"/>
      <c r="E13" s="37"/>
      <c r="F13" s="22"/>
      <c r="G13" s="22"/>
      <c r="H13" s="22"/>
      <c r="I13" s="22"/>
      <c r="J13" s="22"/>
      <c r="K13" s="22"/>
      <c r="L13" s="22"/>
      <c r="M13" s="22"/>
      <c r="N13" s="22"/>
    </row>
    <row r="14" spans="4:16" x14ac:dyDescent="0.15">
      <c r="D14" s="22"/>
      <c r="E14" s="37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4:16" x14ac:dyDescent="0.15">
      <c r="D15" s="22"/>
      <c r="E15" s="37"/>
      <c r="F15" s="22"/>
      <c r="G15" s="22"/>
      <c r="H15" s="22"/>
      <c r="I15" s="22"/>
      <c r="J15" s="22"/>
      <c r="K15" s="22"/>
      <c r="L15" s="22"/>
    </row>
    <row r="16" spans="4:16" x14ac:dyDescent="0.15">
      <c r="D16" s="22"/>
      <c r="E16" s="37"/>
      <c r="F16" s="22"/>
      <c r="G16" s="22"/>
      <c r="H16" s="22"/>
      <c r="I16" s="22"/>
      <c r="J16" s="22"/>
      <c r="K16" s="22"/>
      <c r="L16" s="22"/>
    </row>
    <row r="17" spans="4:12" x14ac:dyDescent="0.15">
      <c r="D17" s="22"/>
      <c r="E17" s="37"/>
      <c r="F17" s="22"/>
      <c r="G17" s="22"/>
      <c r="H17" s="22"/>
      <c r="I17" s="22"/>
      <c r="J17" s="22"/>
      <c r="K17" s="22"/>
      <c r="L17" s="22"/>
    </row>
    <row r="18" spans="4:12" x14ac:dyDescent="0.15">
      <c r="J18" s="22"/>
    </row>
    <row r="20" spans="4:12" x14ac:dyDescent="0.15">
      <c r="E20" s="367" t="s">
        <v>52</v>
      </c>
      <c r="F20" s="367"/>
    </row>
    <row r="21" spans="4:12" x14ac:dyDescent="0.15">
      <c r="E21" s="247" t="s">
        <v>57</v>
      </c>
      <c r="F21" s="247"/>
    </row>
  </sheetData>
  <mergeCells count="6">
    <mergeCell ref="E2:F2"/>
    <mergeCell ref="E20:F20"/>
    <mergeCell ref="E21:F21"/>
    <mergeCell ref="D4:D6"/>
    <mergeCell ref="D7:D9"/>
    <mergeCell ref="D3:E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6</vt:i4>
      </vt:variant>
    </vt:vector>
  </HeadingPairs>
  <TitlesOfParts>
    <vt:vector size="15" baseType="lpstr">
      <vt:lpstr>スケジュール</vt:lpstr>
      <vt:lpstr>請求書</vt:lpstr>
      <vt:lpstr>請求書福岡</vt:lpstr>
      <vt:lpstr>請求書福岡 (2)</vt:lpstr>
      <vt:lpstr>施術内訳書</vt:lpstr>
      <vt:lpstr>施術内訳書  (2)</vt:lpstr>
      <vt:lpstr>領収書後期 (正田</vt:lpstr>
      <vt:lpstr>領収書後期 (正田 (2)</vt:lpstr>
      <vt:lpstr>データ</vt:lpstr>
      <vt:lpstr>施術内訳書!Print_Area</vt:lpstr>
      <vt:lpstr>'施術内訳書  (2)'!Print_Area</vt:lpstr>
      <vt:lpstr>請求書福岡!Print_Area</vt:lpstr>
      <vt:lpstr>'請求書福岡 (2)'!Print_Area</vt:lpstr>
      <vt:lpstr>'領収書後期 (正田'!Print_Area</vt:lpstr>
      <vt:lpstr>'領収書後期 (正田 (2)'!Print_Area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</dc:creator>
  <cp:lastModifiedBy>user</cp:lastModifiedBy>
  <cp:lastPrinted>2022-03-13T22:11:12Z</cp:lastPrinted>
  <dcterms:created xsi:type="dcterms:W3CDTF">2018-11-18T05:32:46Z</dcterms:created>
  <dcterms:modified xsi:type="dcterms:W3CDTF">2022-05-03T20:46:23Z</dcterms:modified>
</cp:coreProperties>
</file>